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5480" windowHeight="11640"/>
  </bookViews>
  <sheets>
    <sheet name="Příloha č. 1" sheetId="1" r:id="rId1"/>
  </sheets>
  <definedNames>
    <definedName name="_xlnm.Print_Area" localSheetId="0">'Příloha č. 1'!$A$1:$H$110</definedName>
  </definedNames>
  <calcPr calcId="145621"/>
</workbook>
</file>

<file path=xl/calcChain.xml><?xml version="1.0" encoding="utf-8"?>
<calcChain xmlns="http://schemas.openxmlformats.org/spreadsheetml/2006/main">
  <c r="H7" i="1" l="1"/>
  <c r="H8" i="1"/>
  <c r="H11" i="1"/>
  <c r="H19" i="1"/>
  <c r="H18" i="1"/>
  <c r="H22" i="1"/>
  <c r="H20" i="1"/>
  <c r="H17" i="1"/>
  <c r="H13" i="1"/>
  <c r="H14" i="1"/>
  <c r="H15" i="1"/>
  <c r="H16" i="1"/>
  <c r="H12" i="1"/>
  <c r="H9" i="1"/>
  <c r="H10" i="1"/>
  <c r="G41" i="1" l="1"/>
  <c r="G40" i="1"/>
  <c r="G38" i="1"/>
  <c r="G37" i="1"/>
  <c r="G8" i="1"/>
  <c r="E48" i="1"/>
  <c r="E37" i="1"/>
  <c r="E8" i="1"/>
  <c r="G55" i="1" l="1"/>
  <c r="E55" i="1"/>
  <c r="G47" i="1"/>
  <c r="H47" i="1" s="1"/>
  <c r="E47" i="1"/>
  <c r="F47" i="1" s="1"/>
  <c r="G43" i="1"/>
  <c r="G36" i="1"/>
  <c r="E39" i="1"/>
  <c r="E43" i="1"/>
  <c r="E36" i="1"/>
  <c r="G19" i="1"/>
  <c r="E19" i="1"/>
  <c r="G11" i="1"/>
  <c r="E11" i="1"/>
  <c r="G7" i="1"/>
  <c r="G22" i="1" s="1"/>
  <c r="G108" i="1" s="1"/>
  <c r="E7" i="1"/>
  <c r="E22" i="1" s="1"/>
  <c r="E108" i="1" s="1"/>
  <c r="H90" i="1"/>
  <c r="H85" i="1"/>
  <c r="F85" i="1"/>
  <c r="F89" i="1"/>
  <c r="H56" i="1"/>
  <c r="H43" i="1"/>
  <c r="H44" i="1"/>
  <c r="F44" i="1"/>
  <c r="E41" i="1"/>
  <c r="E40" i="1"/>
  <c r="H38" i="1"/>
  <c r="F38" i="1"/>
  <c r="F22" i="1" l="1"/>
  <c r="H92" i="1"/>
  <c r="H91" i="1"/>
  <c r="H87" i="1"/>
  <c r="H62" i="1"/>
  <c r="H53" i="1"/>
  <c r="H54" i="1"/>
  <c r="H52" i="1"/>
  <c r="H49" i="1"/>
  <c r="H50" i="1"/>
  <c r="H51" i="1"/>
  <c r="H45" i="1"/>
  <c r="H46" i="1"/>
  <c r="H40" i="1"/>
  <c r="H41" i="1"/>
  <c r="H42" i="1"/>
  <c r="H37" i="1"/>
  <c r="H89" i="1" l="1"/>
  <c r="F92" i="1"/>
  <c r="F91" i="1"/>
  <c r="F87" i="1"/>
  <c r="F86" i="1"/>
  <c r="F56" i="1"/>
  <c r="F54" i="1"/>
  <c r="F53" i="1"/>
  <c r="F52" i="1"/>
  <c r="F51" i="1"/>
  <c r="F49" i="1"/>
  <c r="F50" i="1"/>
  <c r="F48" i="1"/>
  <c r="F46" i="1"/>
  <c r="F45" i="1"/>
  <c r="F43" i="1"/>
  <c r="F41" i="1"/>
  <c r="F40" i="1"/>
  <c r="F37" i="1"/>
  <c r="F13" i="1"/>
  <c r="F14" i="1"/>
  <c r="F15" i="1"/>
  <c r="F16" i="1"/>
  <c r="F17" i="1"/>
  <c r="F12" i="1"/>
  <c r="F9" i="1"/>
  <c r="F10" i="1"/>
  <c r="F8" i="1"/>
  <c r="H95" i="1"/>
  <c r="H96" i="1"/>
  <c r="H97" i="1"/>
  <c r="H98" i="1"/>
  <c r="H99" i="1"/>
  <c r="H100" i="1"/>
  <c r="H101" i="1"/>
  <c r="H102" i="1"/>
  <c r="H103" i="1"/>
  <c r="H104" i="1"/>
  <c r="H105" i="1"/>
  <c r="G15" i="1"/>
  <c r="E15" i="1"/>
  <c r="G16" i="1" l="1"/>
  <c r="E16" i="1"/>
  <c r="H55" i="1"/>
  <c r="F62" i="1"/>
  <c r="F39" i="1"/>
  <c r="H39" i="1"/>
  <c r="E85" i="1"/>
  <c r="F55" i="1" l="1"/>
  <c r="C55" i="1"/>
  <c r="C60" i="1"/>
  <c r="C48" i="1"/>
  <c r="G10" i="1"/>
  <c r="G90" i="1" l="1"/>
  <c r="E90" i="1"/>
  <c r="C59" i="1"/>
  <c r="C58" i="1"/>
  <c r="C57" i="1"/>
  <c r="C56" i="1"/>
  <c r="C51" i="1"/>
  <c r="E51" i="1" s="1"/>
  <c r="C50" i="1"/>
  <c r="E50" i="1" s="1"/>
  <c r="C49" i="1"/>
  <c r="D43" i="1"/>
  <c r="D36" i="1"/>
  <c r="C43" i="1"/>
  <c r="C37" i="1"/>
  <c r="E42" i="1"/>
  <c r="F42" i="1"/>
  <c r="C39" i="1"/>
  <c r="C36" i="1" s="1"/>
  <c r="E54" i="1"/>
  <c r="G54" i="1"/>
  <c r="E18" i="1"/>
  <c r="E12" i="1"/>
  <c r="G12" i="1"/>
  <c r="E13" i="1"/>
  <c r="G13" i="1"/>
  <c r="E9" i="1"/>
  <c r="E20" i="1"/>
  <c r="G20" i="1"/>
  <c r="E17" i="1"/>
  <c r="G17" i="1"/>
  <c r="C16" i="1"/>
  <c r="C87" i="1"/>
  <c r="D63" i="1"/>
  <c r="D64" i="1"/>
  <c r="D65" i="1"/>
  <c r="D66" i="1"/>
  <c r="D68" i="1"/>
  <c r="D69" i="1"/>
  <c r="D70" i="1"/>
  <c r="D56" i="1"/>
  <c r="D55" i="1"/>
  <c r="D48" i="1"/>
  <c r="D47" i="1"/>
  <c r="C63" i="1"/>
  <c r="C64" i="1"/>
  <c r="C65" i="1"/>
  <c r="C66" i="1"/>
  <c r="C68" i="1"/>
  <c r="C69" i="1"/>
  <c r="C70" i="1"/>
  <c r="H71" i="1"/>
  <c r="F70" i="1"/>
  <c r="E87" i="1"/>
  <c r="E84" i="1"/>
  <c r="F84" i="1" s="1"/>
  <c r="G87" i="1"/>
  <c r="C19" i="1"/>
  <c r="C11" i="1"/>
  <c r="C7" i="1"/>
  <c r="C90" i="1"/>
  <c r="D91" i="1"/>
  <c r="D90" i="1"/>
  <c r="D18" i="1"/>
  <c r="D19" i="1"/>
  <c r="D12" i="1"/>
  <c r="D11" i="1"/>
  <c r="D10" i="1"/>
  <c r="D7" i="1"/>
  <c r="D22" i="1"/>
  <c r="D84" i="1"/>
  <c r="D87" i="1"/>
  <c r="D108" i="1" s="1"/>
  <c r="D107" i="1"/>
  <c r="C85" i="1"/>
  <c r="H69" i="1"/>
  <c r="F69" i="1"/>
  <c r="D97" i="1"/>
  <c r="D96" i="1"/>
  <c r="D93" i="1"/>
  <c r="D85" i="1"/>
  <c r="D73" i="1"/>
  <c r="D75" i="1"/>
  <c r="D78" i="1"/>
  <c r="D77" i="1"/>
  <c r="D23" i="1"/>
  <c r="D24" i="1"/>
  <c r="D25" i="1"/>
  <c r="D26" i="1"/>
  <c r="D29" i="1"/>
  <c r="D28" i="1"/>
  <c r="D27" i="1"/>
  <c r="H23" i="1"/>
  <c r="H25" i="1"/>
  <c r="H27" i="1"/>
  <c r="H28" i="1"/>
  <c r="H75" i="1"/>
  <c r="H77" i="1"/>
  <c r="H78" i="1"/>
  <c r="G75" i="1"/>
  <c r="G78" i="1"/>
  <c r="G23" i="1"/>
  <c r="G25" i="1"/>
  <c r="G28" i="1"/>
  <c r="F78" i="1"/>
  <c r="G27" i="1"/>
  <c r="E75" i="1"/>
  <c r="E77" i="1"/>
  <c r="F77" i="1"/>
  <c r="G77" i="1"/>
  <c r="E78" i="1"/>
  <c r="F27" i="1"/>
  <c r="F23" i="1"/>
  <c r="F28" i="1"/>
  <c r="E23" i="1"/>
  <c r="E24" i="1"/>
  <c r="E25" i="1"/>
  <c r="E26" i="1"/>
  <c r="E29" i="1"/>
  <c r="E27" i="1"/>
  <c r="E28" i="1"/>
  <c r="C28" i="1"/>
  <c r="G99" i="1"/>
  <c r="G102" i="1"/>
  <c r="G105" i="1"/>
  <c r="C97" i="1"/>
  <c r="G97" i="1"/>
  <c r="C96" i="1"/>
  <c r="C78" i="1"/>
  <c r="C73" i="1"/>
  <c r="C74" i="1"/>
  <c r="C75" i="1"/>
  <c r="C76" i="1"/>
  <c r="C77" i="1"/>
  <c r="C79" i="1"/>
  <c r="C23" i="1"/>
  <c r="C24" i="1"/>
  <c r="C25" i="1"/>
  <c r="C26" i="1"/>
  <c r="C27" i="1"/>
  <c r="C29" i="1"/>
  <c r="E93" i="1"/>
  <c r="C93" i="1"/>
  <c r="C94" i="1"/>
  <c r="F75" i="1"/>
  <c r="F20" i="1"/>
  <c r="F19" i="1"/>
  <c r="F18" i="1"/>
  <c r="F11" i="1"/>
  <c r="F7" i="1"/>
  <c r="C22" i="1"/>
  <c r="C84" i="1"/>
  <c r="C108" i="1"/>
  <c r="G9" i="1"/>
  <c r="H48" i="1"/>
  <c r="G42" i="1"/>
  <c r="G73" i="1"/>
  <c r="G85" i="1"/>
  <c r="F90" i="1"/>
  <c r="F73" i="1"/>
  <c r="E73" i="1"/>
  <c r="H73" i="1"/>
  <c r="F24" i="1" l="1"/>
  <c r="F26" i="1" s="1"/>
  <c r="F29" i="1" s="1"/>
  <c r="D72" i="1"/>
  <c r="C47" i="1"/>
  <c r="C72" i="1" s="1"/>
  <c r="H36" i="1"/>
  <c r="D109" i="1"/>
  <c r="D110" i="1" s="1"/>
  <c r="D82" i="1"/>
  <c r="D94" i="1"/>
  <c r="D83" i="1"/>
  <c r="D74" i="1"/>
  <c r="D76" i="1" s="1"/>
  <c r="D79" i="1" s="1"/>
  <c r="G50" i="1"/>
  <c r="G51" i="1"/>
  <c r="E49" i="1"/>
  <c r="C83" i="1" l="1"/>
  <c r="C109" i="1"/>
  <c r="C110" i="1" s="1"/>
  <c r="C82" i="1"/>
  <c r="G49" i="1"/>
  <c r="F36" i="1"/>
  <c r="E72" i="1"/>
  <c r="F72" i="1" l="1"/>
  <c r="E109" i="1"/>
  <c r="H24" i="1"/>
  <c r="H26" i="1" s="1"/>
  <c r="H29" i="1" s="1"/>
  <c r="G84" i="1"/>
  <c r="H84" i="1" s="1"/>
  <c r="G93" i="1"/>
  <c r="H93" i="1" s="1"/>
  <c r="G24" i="1"/>
  <c r="G26" i="1" s="1"/>
  <c r="G29" i="1" s="1"/>
  <c r="E110" i="1"/>
  <c r="E82" i="1"/>
  <c r="F82" i="1" s="1"/>
  <c r="E83" i="1"/>
  <c r="F83" i="1" s="1"/>
  <c r="E74" i="1"/>
  <c r="E76" i="1" s="1"/>
  <c r="E79" i="1" s="1"/>
  <c r="E94" i="1"/>
  <c r="G72" i="1" l="1"/>
  <c r="G109" i="1" s="1"/>
  <c r="F74" i="1"/>
  <c r="F76" i="1" s="1"/>
  <c r="F79" i="1" s="1"/>
  <c r="H72" i="1" l="1"/>
  <c r="G82" i="1"/>
  <c r="H82" i="1" s="1"/>
  <c r="G110" i="1"/>
  <c r="G74" i="1"/>
  <c r="G76" i="1" s="1"/>
  <c r="G79" i="1" s="1"/>
  <c r="G83" i="1"/>
  <c r="H83" i="1" s="1"/>
  <c r="H74" i="1"/>
  <c r="H76" i="1" s="1"/>
  <c r="H79" i="1" s="1"/>
  <c r="G94" i="1"/>
  <c r="H94" i="1" s="1"/>
</calcChain>
</file>

<file path=xl/comments1.xml><?xml version="1.0" encoding="utf-8"?>
<comments xmlns="http://schemas.openxmlformats.org/spreadsheetml/2006/main">
  <authors>
    <author>Vítková Petra</author>
    <author>Ing. Pavel Poles</author>
  </authors>
  <commentList>
    <comment ref="D15" authorId="0">
      <text>
        <r>
          <rPr>
            <sz val="8"/>
            <color indexed="81"/>
            <rFont val="Tahoma"/>
            <family val="2"/>
            <charset val="238"/>
          </rPr>
          <t xml:space="preserve">z odpisů:94 051
z IF: 13 495
</t>
        </r>
      </text>
    </comment>
    <comment ref="E55" authorId="1">
      <text>
        <r>
          <rPr>
            <b/>
            <sz val="8"/>
            <color indexed="81"/>
            <rFont val="Tahoma"/>
            <family val="2"/>
            <charset val="238"/>
          </rPr>
          <t>Ing. Pavel Poles:</t>
        </r>
        <r>
          <rPr>
            <sz val="8"/>
            <color indexed="81"/>
            <rFont val="Tahoma"/>
            <family val="2"/>
            <charset val="238"/>
          </rPr>
          <t xml:space="preserve">
za OPŘ:
- roj.příprava+předfinancování z rozpočtu OK+ průtok financování soc. služeb
- zreálnění financování z EIB
p</t>
        </r>
      </text>
    </comment>
    <comment ref="G55" authorId="1">
      <text>
        <r>
          <rPr>
            <b/>
            <sz val="8"/>
            <color indexed="81"/>
            <rFont val="Tahoma"/>
            <family val="2"/>
            <charset val="238"/>
          </rPr>
          <t>Ing. Pavel Poles:</t>
        </r>
        <r>
          <rPr>
            <sz val="8"/>
            <color indexed="81"/>
            <rFont val="Tahoma"/>
            <family val="2"/>
            <charset val="238"/>
          </rPr>
          <t xml:space="preserve">
- proj.příprava+průtok financování soc. služeb projektu
- odhad financování připravovaných projektů z EIB</t>
        </r>
      </text>
    </comment>
  </commentList>
</comments>
</file>

<file path=xl/sharedStrings.xml><?xml version="1.0" encoding="utf-8"?>
<sst xmlns="http://schemas.openxmlformats.org/spreadsheetml/2006/main" count="81" uniqueCount="75">
  <si>
    <t>Rozpočtový výhled</t>
  </si>
  <si>
    <t>DAŇOVÉ PŘÍJMY</t>
  </si>
  <si>
    <t>NEDAŇOVÉ PŘÍJMY</t>
  </si>
  <si>
    <t>KAPITÁLOVÉ PŘÍJMY</t>
  </si>
  <si>
    <t>DOTACE   CELKEM</t>
  </si>
  <si>
    <t xml:space="preserve">PŘÍJMY CELKEM </t>
  </si>
  <si>
    <t>VÝDAJE CELKEM</t>
  </si>
  <si>
    <t>Saldo příjmů a výdajů</t>
  </si>
  <si>
    <t>PŘÍJMY CELKEM</t>
  </si>
  <si>
    <t>FINANCOVÁNÍ CELKEM</t>
  </si>
  <si>
    <t>z toho: daňové příjmy</t>
  </si>
  <si>
    <t xml:space="preserve">           správní poplatky</t>
  </si>
  <si>
    <t>z toho:  souhrnný fin. vztah k SR</t>
  </si>
  <si>
    <t>z toho: příjmy z pronájmu</t>
  </si>
  <si>
    <t xml:space="preserve">          přijaté sankční platby</t>
  </si>
  <si>
    <t xml:space="preserve">          příjmy z úroků</t>
  </si>
  <si>
    <t xml:space="preserve">         odvody příspěvkových organizací </t>
  </si>
  <si>
    <t xml:space="preserve">         fond - voda (poplatky za odběr vody)</t>
  </si>
  <si>
    <t xml:space="preserve">PŘÍJMY   </t>
  </si>
  <si>
    <t>VÝDAJE</t>
  </si>
  <si>
    <t xml:space="preserve">Příspěvkové organizace  </t>
  </si>
  <si>
    <t>Sociální fond</t>
  </si>
  <si>
    <t>Fond  - voda</t>
  </si>
  <si>
    <t xml:space="preserve">z toho: oblast školství </t>
  </si>
  <si>
    <t xml:space="preserve">          oblast sociálních věcí </t>
  </si>
  <si>
    <t xml:space="preserve">          oblast kultury</t>
  </si>
  <si>
    <t xml:space="preserve">          oblast dopravy </t>
  </si>
  <si>
    <t xml:space="preserve">          oblast zdravotnictví </t>
  </si>
  <si>
    <t xml:space="preserve">         krajský úřad a zastupitelé</t>
  </si>
  <si>
    <t>Financování - přijatý úvěr  (+)</t>
  </si>
  <si>
    <t>Financování - zapojení nevyužitých prostředků předcházejícího roku (přebytek)</t>
  </si>
  <si>
    <t xml:space="preserve">          oblast zdravotnictví (NOK, a.s.)</t>
  </si>
  <si>
    <t>Rozpočet 2009</t>
  </si>
  <si>
    <t>skutečnost k 30.6.2009</t>
  </si>
  <si>
    <t xml:space="preserve">         splátky půjček a ostatní nedaňové příjmy</t>
  </si>
  <si>
    <t>z toho: autobusová doprava</t>
  </si>
  <si>
    <t xml:space="preserve">           drážní doprava</t>
  </si>
  <si>
    <t>Číslo řádku</t>
  </si>
  <si>
    <t xml:space="preserve">          z toho: PPP - Dub nad Moravou </t>
  </si>
  <si>
    <t xml:space="preserve">          Komerční banka (investice) - úroky</t>
  </si>
  <si>
    <t xml:space="preserve">         rezerva,ostatní *</t>
  </si>
  <si>
    <t>v tis.Kč</t>
  </si>
  <si>
    <t xml:space="preserve">           EIB  - úroky</t>
  </si>
  <si>
    <t xml:space="preserve">Financování - splátky úvěru  (-) </t>
  </si>
  <si>
    <t xml:space="preserve">          EIB </t>
  </si>
  <si>
    <t xml:space="preserve">          EIB  - jistina</t>
  </si>
  <si>
    <t xml:space="preserve">Odbory (kanceláře) - provozní výdaje a dotační tituly </t>
  </si>
  <si>
    <t>Rozpočtový výhled Olomouckého kraje na období 2013 - 2014</t>
  </si>
  <si>
    <t>Schválený rozpočet 2012</t>
  </si>
  <si>
    <t>13/12 (%)</t>
  </si>
  <si>
    <t>z toho: Komerční banka - úvěrový rámec</t>
  </si>
  <si>
    <t>z toho: EIB (Modernizace silniční sítě) - iistina</t>
  </si>
  <si>
    <t>a) provozní výdaje odborů</t>
  </si>
  <si>
    <t>b) dotační tituly</t>
  </si>
  <si>
    <t>c) dopravní obslužnost</t>
  </si>
  <si>
    <t xml:space="preserve">d) nespecifikovaná rezerva </t>
  </si>
  <si>
    <t xml:space="preserve">e) úroky z úvěru </t>
  </si>
  <si>
    <t xml:space="preserve"> z toho: EIB (Modernizace silniční síte) - úroky</t>
  </si>
  <si>
    <t xml:space="preserve">          Komerční banka  - jistina</t>
  </si>
  <si>
    <t xml:space="preserve">a) příspěvek na provoz </t>
  </si>
  <si>
    <t>b) příspěve na provoz - mzdové náklady</t>
  </si>
  <si>
    <t>c) příspěvek na provoz - odpisy</t>
  </si>
  <si>
    <t xml:space="preserve">d) příspěvek na provoz - nájemné </t>
  </si>
  <si>
    <t>Evropské programy</t>
  </si>
  <si>
    <t xml:space="preserve">a) oblast školství </t>
  </si>
  <si>
    <t xml:space="preserve">b) oblast sociálních věcí </t>
  </si>
  <si>
    <t>c) oblast dopravy</t>
  </si>
  <si>
    <t>d) oblast kultury</t>
  </si>
  <si>
    <t xml:space="preserve">e) oblast zdravotnictví </t>
  </si>
  <si>
    <t>Investiční výdaje</t>
  </si>
  <si>
    <t>f) ostatní</t>
  </si>
  <si>
    <t xml:space="preserve">g) oblast zdravotnictví - z nájemného </t>
  </si>
  <si>
    <t xml:space="preserve">           daňové příjmy - vratka DPH</t>
  </si>
  <si>
    <t xml:space="preserve">            dotace </t>
  </si>
  <si>
    <t>14/12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</si>
</sst>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4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10"/>
      <color indexed="9"/>
      <name val="Arial"/>
      <family val="2"/>
      <charset val="238"/>
    </font>
    <font>
      <i/>
      <sz val="10"/>
      <color indexed="9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i/>
      <sz val="10"/>
      <color indexed="9"/>
      <name val="Arial"/>
      <family val="2"/>
      <charset val="238"/>
    </font>
    <font>
      <sz val="10"/>
      <color indexed="12"/>
      <name val="Arial"/>
      <family val="2"/>
      <charset val="238"/>
    </font>
    <font>
      <sz val="8"/>
      <color indexed="81"/>
      <name val="Tahoma"/>
      <family val="2"/>
      <charset val="238"/>
    </font>
    <font>
      <b/>
      <sz val="10"/>
      <color indexed="14"/>
      <name val="Arial"/>
      <family val="2"/>
      <charset val="238"/>
    </font>
    <font>
      <b/>
      <sz val="16"/>
      <name val="Arial"/>
      <family val="2"/>
      <charset val="238"/>
    </font>
    <font>
      <b/>
      <sz val="10"/>
      <color indexed="12"/>
      <name val="Arial"/>
      <family val="2"/>
      <charset val="238"/>
    </font>
    <font>
      <b/>
      <sz val="10"/>
      <color indexed="40"/>
      <name val="Arial"/>
      <family val="2"/>
      <charset val="238"/>
    </font>
    <font>
      <b/>
      <i/>
      <sz val="11"/>
      <name val="Arial"/>
      <family val="2"/>
      <charset val="238"/>
    </font>
    <font>
      <b/>
      <sz val="10"/>
      <color indexed="53"/>
      <name val="Arial"/>
      <family val="2"/>
      <charset val="238"/>
    </font>
    <font>
      <b/>
      <sz val="8"/>
      <color indexed="81"/>
      <name val="Tahoma"/>
      <family val="2"/>
      <charset val="238"/>
    </font>
    <font>
      <b/>
      <sz val="10"/>
      <color indexed="19"/>
      <name val="Arial"/>
      <family val="2"/>
      <charset val="238"/>
    </font>
    <font>
      <b/>
      <sz val="11.6"/>
      <name val="Arial"/>
      <family val="2"/>
      <charset val="238"/>
    </font>
    <font>
      <b/>
      <sz val="14"/>
      <color indexed="10"/>
      <name val="Arial"/>
      <family val="2"/>
      <charset val="238"/>
    </font>
    <font>
      <b/>
      <sz val="11"/>
      <color indexed="10"/>
      <name val="Arial"/>
      <family val="2"/>
      <charset val="238"/>
    </font>
    <font>
      <i/>
      <sz val="10"/>
      <color indexed="10"/>
      <name val="Arial"/>
      <family val="2"/>
      <charset val="238"/>
    </font>
    <font>
      <b/>
      <sz val="12"/>
      <color indexed="10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name val="Arial"/>
      <family val="2"/>
      <charset val="238"/>
    </font>
    <font>
      <sz val="11"/>
      <color indexed="1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</fills>
  <borders count="43">
    <border>
      <left/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hair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hair">
        <color indexed="64"/>
      </right>
      <top style="thick">
        <color indexed="64"/>
      </top>
      <bottom/>
      <diagonal/>
    </border>
    <border>
      <left style="thick">
        <color indexed="64"/>
      </left>
      <right style="hair">
        <color indexed="64"/>
      </right>
      <top/>
      <bottom/>
      <diagonal/>
    </border>
    <border>
      <left style="thick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/>
      <diagonal/>
    </border>
    <border>
      <left style="hair">
        <color indexed="64"/>
      </left>
      <right style="thick">
        <color indexed="64"/>
      </right>
      <top/>
      <bottom/>
      <diagonal/>
    </border>
    <border>
      <left style="hair">
        <color indexed="64"/>
      </left>
      <right style="thick">
        <color indexed="64"/>
      </right>
      <top/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36">
    <xf numFmtId="0" fontId="0" fillId="0" borderId="0" xfId="0"/>
    <xf numFmtId="0" fontId="2" fillId="0" borderId="0" xfId="0" applyFont="1" applyFill="1" applyAlignment="1">
      <alignment horizontal="left"/>
    </xf>
    <xf numFmtId="0" fontId="3" fillId="0" borderId="0" xfId="0" applyFont="1" applyFill="1"/>
    <xf numFmtId="0" fontId="2" fillId="0" borderId="0" xfId="0" applyFont="1" applyFill="1" applyAlignment="1">
      <alignment vertical="center"/>
    </xf>
    <xf numFmtId="0" fontId="6" fillId="0" borderId="0" xfId="0" applyFont="1" applyFill="1"/>
    <xf numFmtId="0" fontId="7" fillId="0" borderId="0" xfId="0" applyFont="1" applyFill="1" applyAlignment="1">
      <alignment vertical="center"/>
    </xf>
    <xf numFmtId="0" fontId="9" fillId="0" borderId="0" xfId="0" applyFont="1" applyFill="1"/>
    <xf numFmtId="0" fontId="9" fillId="0" borderId="0" xfId="0" applyFont="1" applyFill="1" applyBorder="1" applyAlignment="1">
      <alignment vertical="center"/>
    </xf>
    <xf numFmtId="3" fontId="9" fillId="0" borderId="0" xfId="0" applyNumberFormat="1" applyFont="1" applyFill="1" applyBorder="1" applyAlignment="1"/>
    <xf numFmtId="0" fontId="8" fillId="0" borderId="0" xfId="0" applyFont="1" applyFill="1" applyAlignment="1">
      <alignment vertical="center"/>
    </xf>
    <xf numFmtId="0" fontId="9" fillId="2" borderId="0" xfId="0" applyFont="1" applyFill="1" applyBorder="1" applyAlignment="1">
      <alignment horizontal="left" vertical="center"/>
    </xf>
    <xf numFmtId="3" fontId="9" fillId="2" borderId="0" xfId="0" applyNumberFormat="1" applyFont="1" applyFill="1" applyBorder="1" applyAlignment="1">
      <alignment vertical="center"/>
    </xf>
    <xf numFmtId="3" fontId="11" fillId="2" borderId="0" xfId="0" applyNumberFormat="1" applyFont="1" applyFill="1" applyBorder="1" applyAlignment="1">
      <alignment vertical="center"/>
    </xf>
    <xf numFmtId="164" fontId="12" fillId="2" borderId="0" xfId="0" applyNumberFormat="1" applyFont="1" applyFill="1" applyBorder="1" applyAlignment="1">
      <alignment horizontal="right" vertical="top"/>
    </xf>
    <xf numFmtId="0" fontId="9" fillId="0" borderId="0" xfId="0" applyFont="1" applyFill="1" applyAlignment="1">
      <alignment vertical="center"/>
    </xf>
    <xf numFmtId="3" fontId="3" fillId="0" borderId="0" xfId="0" applyNumberFormat="1" applyFont="1" applyFill="1"/>
    <xf numFmtId="3" fontId="15" fillId="0" borderId="0" xfId="0" applyNumberFormat="1" applyFont="1" applyFill="1" applyBorder="1" applyAlignment="1"/>
    <xf numFmtId="0" fontId="8" fillId="0" borderId="0" xfId="0" applyFont="1" applyFill="1"/>
    <xf numFmtId="0" fontId="7" fillId="0" borderId="0" xfId="0" applyFont="1" applyFill="1"/>
    <xf numFmtId="3" fontId="2" fillId="0" borderId="0" xfId="0" applyNumberFormat="1" applyFont="1" applyFill="1" applyAlignment="1">
      <alignment horizontal="left"/>
    </xf>
    <xf numFmtId="3" fontId="15" fillId="2" borderId="0" xfId="0" applyNumberFormat="1" applyFont="1" applyFill="1" applyBorder="1" applyAlignment="1">
      <alignment vertical="center"/>
    </xf>
    <xf numFmtId="3" fontId="18" fillId="2" borderId="0" xfId="0" applyNumberFormat="1" applyFont="1" applyFill="1" applyBorder="1" applyAlignment="1">
      <alignment vertical="center"/>
    </xf>
    <xf numFmtId="3" fontId="18" fillId="0" borderId="0" xfId="0" applyNumberFormat="1" applyFont="1" applyFill="1" applyBorder="1" applyAlignment="1"/>
    <xf numFmtId="0" fontId="18" fillId="0" borderId="0" xfId="0" applyFont="1" applyFill="1" applyBorder="1" applyAlignment="1">
      <alignment vertical="center"/>
    </xf>
    <xf numFmtId="0" fontId="18" fillId="0" borderId="0" xfId="0" applyFont="1" applyFill="1"/>
    <xf numFmtId="0" fontId="18" fillId="2" borderId="0" xfId="0" applyFont="1" applyFill="1" applyBorder="1" applyAlignment="1">
      <alignment horizontal="left" vertical="center"/>
    </xf>
    <xf numFmtId="0" fontId="18" fillId="0" borderId="0" xfId="0" applyFont="1" applyFill="1" applyAlignment="1">
      <alignment vertical="center"/>
    </xf>
    <xf numFmtId="0" fontId="15" fillId="2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vertical="center"/>
    </xf>
    <xf numFmtId="3" fontId="7" fillId="0" borderId="1" xfId="0" applyNumberFormat="1" applyFont="1" applyFill="1" applyBorder="1" applyAlignment="1">
      <alignment horizontal="right" vertical="center"/>
    </xf>
    <xf numFmtId="3" fontId="7" fillId="0" borderId="2" xfId="0" applyNumberFormat="1" applyFont="1" applyFill="1" applyBorder="1" applyAlignment="1">
      <alignment horizontal="right" vertical="center"/>
    </xf>
    <xf numFmtId="3" fontId="7" fillId="0" borderId="2" xfId="0" applyNumberFormat="1" applyFont="1" applyFill="1" applyBorder="1" applyAlignment="1">
      <alignment vertical="center"/>
    </xf>
    <xf numFmtId="3" fontId="11" fillId="0" borderId="0" xfId="0" applyNumberFormat="1" applyFont="1" applyFill="1" applyBorder="1" applyAlignment="1"/>
    <xf numFmtId="3" fontId="7" fillId="0" borderId="3" xfId="0" applyNumberFormat="1" applyFont="1" applyFill="1" applyBorder="1" applyAlignment="1">
      <alignment horizontal="right" vertical="center"/>
    </xf>
    <xf numFmtId="164" fontId="7" fillId="0" borderId="4" xfId="0" applyNumberFormat="1" applyFont="1" applyFill="1" applyBorder="1" applyAlignment="1">
      <alignment horizontal="right" vertical="center"/>
    </xf>
    <xf numFmtId="3" fontId="7" fillId="0" borderId="5" xfId="0" applyNumberFormat="1" applyFont="1" applyFill="1" applyBorder="1" applyAlignment="1">
      <alignment horizontal="right" vertical="center"/>
    </xf>
    <xf numFmtId="3" fontId="7" fillId="0" borderId="5" xfId="0" applyNumberFormat="1" applyFont="1" applyFill="1" applyBorder="1" applyAlignment="1">
      <alignment vertical="center"/>
    </xf>
    <xf numFmtId="3" fontId="7" fillId="0" borderId="6" xfId="0" applyNumberFormat="1" applyFont="1" applyFill="1" applyBorder="1" applyAlignment="1">
      <alignment vertical="center"/>
    </xf>
    <xf numFmtId="0" fontId="7" fillId="0" borderId="7" xfId="0" applyFont="1" applyFill="1" applyBorder="1" applyAlignment="1">
      <alignment vertical="center"/>
    </xf>
    <xf numFmtId="0" fontId="7" fillId="0" borderId="7" xfId="0" applyFont="1" applyFill="1" applyBorder="1" applyAlignment="1">
      <alignment horizontal="left" vertical="center"/>
    </xf>
    <xf numFmtId="0" fontId="4" fillId="3" borderId="8" xfId="0" applyFont="1" applyFill="1" applyBorder="1" applyAlignment="1"/>
    <xf numFmtId="0" fontId="5" fillId="0" borderId="0" xfId="0" applyFont="1" applyFill="1"/>
    <xf numFmtId="0" fontId="5" fillId="0" borderId="0" xfId="0" applyFont="1" applyFill="1" applyAlignment="1">
      <alignment vertical="center"/>
    </xf>
    <xf numFmtId="164" fontId="3" fillId="0" borderId="0" xfId="0" applyNumberFormat="1" applyFont="1" applyFill="1" applyAlignment="1">
      <alignment horizontal="right"/>
    </xf>
    <xf numFmtId="164" fontId="11" fillId="0" borderId="0" xfId="0" applyNumberFormat="1" applyFont="1" applyFill="1" applyBorder="1" applyAlignment="1"/>
    <xf numFmtId="164" fontId="18" fillId="0" borderId="0" xfId="0" applyNumberFormat="1" applyFont="1" applyFill="1" applyBorder="1" applyAlignment="1"/>
    <xf numFmtId="164" fontId="10" fillId="0" borderId="0" xfId="0" applyNumberFormat="1" applyFont="1" applyFill="1" applyBorder="1" applyAlignment="1">
      <alignment horizontal="right" vertical="center"/>
    </xf>
    <xf numFmtId="164" fontId="11" fillId="2" borderId="0" xfId="0" applyNumberFormat="1" applyFont="1" applyFill="1" applyBorder="1" applyAlignment="1">
      <alignment vertical="center"/>
    </xf>
    <xf numFmtId="164" fontId="18" fillId="2" borderId="0" xfId="0" applyNumberFormat="1" applyFont="1" applyFill="1" applyBorder="1" applyAlignment="1">
      <alignment vertical="center"/>
    </xf>
    <xf numFmtId="164" fontId="15" fillId="2" borderId="0" xfId="0" applyNumberFormat="1" applyFont="1" applyFill="1" applyBorder="1" applyAlignment="1">
      <alignment vertical="center"/>
    </xf>
    <xf numFmtId="164" fontId="3" fillId="0" borderId="0" xfId="0" applyNumberFormat="1" applyFont="1" applyFill="1" applyBorder="1" applyAlignment="1">
      <alignment horizontal="right"/>
    </xf>
    <xf numFmtId="164" fontId="13" fillId="0" borderId="0" xfId="0" applyNumberFormat="1" applyFont="1" applyFill="1" applyBorder="1" applyAlignment="1">
      <alignment horizontal="right"/>
    </xf>
    <xf numFmtId="0" fontId="4" fillId="0" borderId="0" xfId="0" applyFont="1" applyFill="1" applyAlignment="1">
      <alignment vertical="center"/>
    </xf>
    <xf numFmtId="0" fontId="4" fillId="3" borderId="11" xfId="0" applyFont="1" applyFill="1" applyBorder="1" applyAlignment="1">
      <alignment horizontal="left" vertical="center"/>
    </xf>
    <xf numFmtId="3" fontId="4" fillId="3" borderId="12" xfId="0" applyNumberFormat="1" applyFont="1" applyFill="1" applyBorder="1" applyAlignment="1">
      <alignment vertical="center"/>
    </xf>
    <xf numFmtId="0" fontId="20" fillId="0" borderId="0" xfId="0" applyFont="1" applyFill="1"/>
    <xf numFmtId="3" fontId="7" fillId="0" borderId="5" xfId="0" applyNumberFormat="1" applyFont="1" applyFill="1" applyBorder="1" applyAlignment="1"/>
    <xf numFmtId="3" fontId="7" fillId="0" borderId="13" xfId="0" applyNumberFormat="1" applyFont="1" applyFill="1" applyBorder="1" applyAlignment="1"/>
    <xf numFmtId="164" fontId="7" fillId="0" borderId="4" xfId="0" applyNumberFormat="1" applyFont="1" applyFill="1" applyBorder="1" applyAlignment="1">
      <alignment horizontal="right"/>
    </xf>
    <xf numFmtId="3" fontId="7" fillId="0" borderId="6" xfId="0" applyNumberFormat="1" applyFont="1" applyFill="1" applyBorder="1" applyAlignment="1"/>
    <xf numFmtId="164" fontId="7" fillId="0" borderId="14" xfId="0" applyNumberFormat="1" applyFont="1" applyFill="1" applyBorder="1" applyAlignment="1">
      <alignment horizontal="right" vertical="center"/>
    </xf>
    <xf numFmtId="3" fontId="5" fillId="0" borderId="12" xfId="0" applyNumberFormat="1" applyFont="1" applyFill="1" applyBorder="1" applyAlignment="1">
      <alignment vertical="center"/>
    </xf>
    <xf numFmtId="164" fontId="5" fillId="0" borderId="15" xfId="0" applyNumberFormat="1" applyFont="1" applyFill="1" applyBorder="1" applyAlignment="1">
      <alignment vertical="center"/>
    </xf>
    <xf numFmtId="3" fontId="5" fillId="3" borderId="12" xfId="0" applyNumberFormat="1" applyFont="1" applyFill="1" applyBorder="1" applyAlignment="1">
      <alignment vertical="center"/>
    </xf>
    <xf numFmtId="164" fontId="5" fillId="3" borderId="15" xfId="0" applyNumberFormat="1" applyFont="1" applyFill="1" applyBorder="1" applyAlignment="1">
      <alignment horizontal="right" vertical="top"/>
    </xf>
    <xf numFmtId="164" fontId="5" fillId="0" borderId="15" xfId="0" applyNumberFormat="1" applyFont="1" applyFill="1" applyBorder="1" applyAlignment="1">
      <alignment horizontal="right" vertical="top"/>
    </xf>
    <xf numFmtId="0" fontId="15" fillId="0" borderId="0" xfId="0" applyFont="1" applyFill="1"/>
    <xf numFmtId="164" fontId="15" fillId="0" borderId="0" xfId="0" applyNumberFormat="1" applyFont="1" applyFill="1" applyBorder="1" applyAlignment="1">
      <alignment horizontal="right"/>
    </xf>
    <xf numFmtId="0" fontId="22" fillId="0" borderId="0" xfId="0" applyFont="1" applyFill="1"/>
    <xf numFmtId="164" fontId="22" fillId="0" borderId="0" xfId="0" applyNumberFormat="1" applyFont="1" applyFill="1" applyBorder="1" applyAlignment="1">
      <alignment horizontal="right"/>
    </xf>
    <xf numFmtId="164" fontId="17" fillId="0" borderId="0" xfId="0" applyNumberFormat="1" applyFont="1" applyFill="1" applyBorder="1" applyAlignment="1">
      <alignment horizontal="right"/>
    </xf>
    <xf numFmtId="0" fontId="6" fillId="4" borderId="0" xfId="0" applyFont="1" applyFill="1"/>
    <xf numFmtId="164" fontId="17" fillId="4" borderId="0" xfId="0" applyNumberFormat="1" applyFont="1" applyFill="1" applyBorder="1" applyAlignment="1">
      <alignment horizontal="right"/>
    </xf>
    <xf numFmtId="0" fontId="6" fillId="5" borderId="0" xfId="0" applyFont="1" applyFill="1"/>
    <xf numFmtId="164" fontId="17" fillId="5" borderId="0" xfId="0" applyNumberFormat="1" applyFont="1" applyFill="1" applyBorder="1" applyAlignment="1">
      <alignment horizontal="right"/>
    </xf>
    <xf numFmtId="164" fontId="23" fillId="3" borderId="15" xfId="0" applyNumberFormat="1" applyFont="1" applyFill="1" applyBorder="1" applyAlignment="1">
      <alignment horizontal="right" vertical="center"/>
    </xf>
    <xf numFmtId="3" fontId="4" fillId="3" borderId="16" xfId="0" applyNumberFormat="1" applyFont="1" applyFill="1" applyBorder="1" applyAlignment="1"/>
    <xf numFmtId="3" fontId="4" fillId="3" borderId="12" xfId="0" applyNumberFormat="1" applyFont="1" applyFill="1" applyBorder="1" applyAlignment="1"/>
    <xf numFmtId="0" fontId="4" fillId="3" borderId="0" xfId="0" applyFont="1" applyFill="1" applyAlignment="1"/>
    <xf numFmtId="0" fontId="7" fillId="0" borderId="17" xfId="0" applyFont="1" applyFill="1" applyBorder="1" applyAlignment="1">
      <alignment horizontal="left" vertical="center" wrapText="1"/>
    </xf>
    <xf numFmtId="0" fontId="7" fillId="0" borderId="17" xfId="0" applyFont="1" applyFill="1" applyBorder="1" applyAlignment="1">
      <alignment horizontal="left" vertical="center"/>
    </xf>
    <xf numFmtId="3" fontId="24" fillId="0" borderId="0" xfId="0" applyNumberFormat="1" applyFont="1" applyFill="1" applyAlignment="1">
      <alignment horizontal="left"/>
    </xf>
    <xf numFmtId="3" fontId="26" fillId="0" borderId="9" xfId="0" applyNumberFormat="1" applyFont="1" applyFill="1" applyBorder="1" applyAlignment="1">
      <alignment horizontal="right" vertical="center"/>
    </xf>
    <xf numFmtId="3" fontId="26" fillId="0" borderId="7" xfId="0" applyNumberFormat="1" applyFont="1" applyFill="1" applyBorder="1" applyAlignment="1">
      <alignment horizontal="right" vertical="center"/>
    </xf>
    <xf numFmtId="3" fontId="26" fillId="0" borderId="7" xfId="0" applyNumberFormat="1" applyFont="1" applyFill="1" applyBorder="1" applyAlignment="1">
      <alignment vertical="center"/>
    </xf>
    <xf numFmtId="3" fontId="26" fillId="0" borderId="18" xfId="0" applyNumberFormat="1" applyFont="1" applyFill="1" applyBorder="1" applyAlignment="1">
      <alignment vertical="center"/>
    </xf>
    <xf numFmtId="3" fontId="27" fillId="3" borderId="8" xfId="0" applyNumberFormat="1" applyFont="1" applyFill="1" applyBorder="1" applyAlignment="1"/>
    <xf numFmtId="3" fontId="25" fillId="0" borderId="8" xfId="0" applyNumberFormat="1" applyFont="1" applyFill="1" applyBorder="1" applyAlignment="1">
      <alignment vertical="center"/>
    </xf>
    <xf numFmtId="3" fontId="25" fillId="3" borderId="8" xfId="0" applyNumberFormat="1" applyFont="1" applyFill="1" applyBorder="1" applyAlignment="1">
      <alignment vertical="center"/>
    </xf>
    <xf numFmtId="3" fontId="26" fillId="0" borderId="7" xfId="0" applyNumberFormat="1" applyFont="1" applyFill="1" applyBorder="1"/>
    <xf numFmtId="3" fontId="26" fillId="0" borderId="18" xfId="0" applyNumberFormat="1" applyFont="1" applyFill="1" applyBorder="1"/>
    <xf numFmtId="3" fontId="26" fillId="0" borderId="19" xfId="0" applyNumberFormat="1" applyFont="1" applyFill="1" applyBorder="1"/>
    <xf numFmtId="3" fontId="28" fillId="0" borderId="0" xfId="0" applyNumberFormat="1" applyFont="1" applyFill="1"/>
    <xf numFmtId="3" fontId="26" fillId="0" borderId="6" xfId="0" applyNumberFormat="1" applyFont="1" applyFill="1" applyBorder="1" applyAlignment="1">
      <alignment vertical="center"/>
    </xf>
    <xf numFmtId="3" fontId="26" fillId="0" borderId="20" xfId="1" applyNumberFormat="1" applyFont="1" applyFill="1" applyBorder="1" applyAlignment="1">
      <alignment vertical="center"/>
    </xf>
    <xf numFmtId="3" fontId="26" fillId="0" borderId="21" xfId="1" applyNumberFormat="1" applyFont="1" applyFill="1" applyBorder="1" applyAlignment="1">
      <alignment vertical="center"/>
    </xf>
    <xf numFmtId="164" fontId="7" fillId="0" borderId="22" xfId="0" applyNumberFormat="1" applyFont="1" applyFill="1" applyBorder="1" applyAlignment="1">
      <alignment horizontal="right" vertical="center"/>
    </xf>
    <xf numFmtId="0" fontId="28" fillId="0" borderId="0" xfId="0" applyFont="1" applyFill="1"/>
    <xf numFmtId="0" fontId="3" fillId="2" borderId="7" xfId="0" applyFont="1" applyFill="1" applyBorder="1" applyAlignment="1">
      <alignment horizontal="center" vertical="center"/>
    </xf>
    <xf numFmtId="0" fontId="29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29" fillId="2" borderId="8" xfId="0" applyFont="1" applyFill="1" applyBorder="1" applyAlignment="1">
      <alignment horizontal="center" vertical="center"/>
    </xf>
    <xf numFmtId="0" fontId="29" fillId="3" borderId="8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left" vertical="center"/>
    </xf>
    <xf numFmtId="0" fontId="5" fillId="3" borderId="25" xfId="0" applyFont="1" applyFill="1" applyBorder="1" applyAlignment="1">
      <alignment horizontal="left" vertical="center"/>
    </xf>
    <xf numFmtId="0" fontId="7" fillId="0" borderId="28" xfId="0" applyFont="1" applyFill="1" applyBorder="1" applyAlignment="1">
      <alignment horizontal="left"/>
    </xf>
    <xf numFmtId="0" fontId="7" fillId="0" borderId="29" xfId="0" applyFont="1" applyFill="1" applyBorder="1" applyAlignment="1">
      <alignment horizontal="left"/>
    </xf>
    <xf numFmtId="0" fontId="29" fillId="0" borderId="7" xfId="0" applyFont="1" applyFill="1" applyBorder="1" applyAlignment="1">
      <alignment horizontal="center"/>
    </xf>
    <xf numFmtId="3" fontId="7" fillId="0" borderId="30" xfId="1" applyNumberFormat="1" applyFont="1" applyFill="1" applyBorder="1" applyAlignment="1">
      <alignment vertical="center"/>
    </xf>
    <xf numFmtId="164" fontId="7" fillId="0" borderId="27" xfId="0" applyNumberFormat="1" applyFont="1" applyFill="1" applyBorder="1" applyAlignment="1">
      <alignment horizontal="right" vertical="center"/>
    </xf>
    <xf numFmtId="3" fontId="26" fillId="0" borderId="27" xfId="0" applyNumberFormat="1" applyFont="1" applyFill="1" applyBorder="1" applyAlignment="1">
      <alignment vertical="center"/>
    </xf>
    <xf numFmtId="3" fontId="7" fillId="0" borderId="27" xfId="0" applyNumberFormat="1" applyFont="1" applyFill="1" applyBorder="1" applyAlignment="1">
      <alignment vertical="center"/>
    </xf>
    <xf numFmtId="3" fontId="26" fillId="0" borderId="5" xfId="1" applyNumberFormat="1" applyFont="1" applyFill="1" applyBorder="1" applyAlignment="1">
      <alignment vertical="center"/>
    </xf>
    <xf numFmtId="3" fontId="7" fillId="0" borderId="5" xfId="1" applyNumberFormat="1" applyFont="1" applyFill="1" applyBorder="1" applyAlignment="1">
      <alignment vertical="center"/>
    </xf>
    <xf numFmtId="0" fontId="3" fillId="0" borderId="0" xfId="0" applyFont="1" applyFill="1" applyAlignment="1"/>
    <xf numFmtId="164" fontId="7" fillId="0" borderId="2" xfId="0" applyNumberFormat="1" applyFont="1" applyFill="1" applyBorder="1" applyAlignment="1">
      <alignment horizontal="right" vertical="center"/>
    </xf>
    <xf numFmtId="0" fontId="29" fillId="0" borderId="17" xfId="0" applyFont="1" applyFill="1" applyBorder="1" applyAlignment="1">
      <alignment horizontal="left" vertical="center" wrapText="1"/>
    </xf>
    <xf numFmtId="0" fontId="7" fillId="0" borderId="27" xfId="0" applyFont="1" applyFill="1" applyBorder="1" applyAlignment="1">
      <alignment horizontal="left"/>
    </xf>
    <xf numFmtId="3" fontId="29" fillId="0" borderId="5" xfId="0" applyNumberFormat="1" applyFont="1" applyFill="1" applyBorder="1" applyAlignment="1">
      <alignment vertical="center"/>
    </xf>
    <xf numFmtId="3" fontId="30" fillId="0" borderId="7" xfId="0" applyNumberFormat="1" applyFont="1" applyFill="1" applyBorder="1" applyAlignment="1">
      <alignment vertical="center"/>
    </xf>
    <xf numFmtId="164" fontId="29" fillId="0" borderId="4" xfId="0" applyNumberFormat="1" applyFont="1" applyFill="1" applyBorder="1" applyAlignment="1">
      <alignment horizontal="right" vertical="center"/>
    </xf>
    <xf numFmtId="0" fontId="5" fillId="6" borderId="17" xfId="0" applyFont="1" applyFill="1" applyBorder="1" applyAlignment="1">
      <alignment horizontal="left" vertical="center" wrapText="1"/>
    </xf>
    <xf numFmtId="3" fontId="5" fillId="6" borderId="5" xfId="0" applyNumberFormat="1" applyFont="1" applyFill="1" applyBorder="1" applyAlignment="1">
      <alignment vertical="center"/>
    </xf>
    <xf numFmtId="3" fontId="25" fillId="6" borderId="7" xfId="0" applyNumberFormat="1" applyFont="1" applyFill="1" applyBorder="1" applyAlignment="1">
      <alignment vertical="center"/>
    </xf>
    <xf numFmtId="164" fontId="5" fillId="6" borderId="4" xfId="0" applyNumberFormat="1" applyFont="1" applyFill="1" applyBorder="1"/>
    <xf numFmtId="3" fontId="5" fillId="6" borderId="5" xfId="0" applyNumberFormat="1" applyFont="1" applyFill="1" applyBorder="1"/>
    <xf numFmtId="3" fontId="25" fillId="6" borderId="7" xfId="0" applyNumberFormat="1" applyFont="1" applyFill="1" applyBorder="1"/>
    <xf numFmtId="164" fontId="19" fillId="6" borderId="27" xfId="0" applyNumberFormat="1" applyFont="1" applyFill="1" applyBorder="1" applyAlignment="1">
      <alignment horizontal="right" vertical="center" shrinkToFit="1"/>
    </xf>
    <xf numFmtId="3" fontId="7" fillId="0" borderId="5" xfId="0" applyNumberFormat="1" applyFont="1" applyFill="1" applyBorder="1" applyAlignment="1">
      <alignment horizontal="left" vertical="center"/>
    </xf>
    <xf numFmtId="3" fontId="26" fillId="0" borderId="7" xfId="0" applyNumberFormat="1" applyFont="1" applyFill="1" applyBorder="1" applyAlignment="1">
      <alignment horizontal="left" vertical="center"/>
    </xf>
    <xf numFmtId="164" fontId="7" fillId="0" borderId="4" xfId="0" applyNumberFormat="1" applyFont="1" applyFill="1" applyBorder="1" applyAlignment="1">
      <alignment horizontal="left" vertical="center"/>
    </xf>
    <xf numFmtId="0" fontId="29" fillId="0" borderId="17" xfId="0" applyFont="1" applyFill="1" applyBorder="1" applyAlignment="1">
      <alignment horizontal="left" vertical="center"/>
    </xf>
    <xf numFmtId="3" fontId="29" fillId="0" borderId="6" xfId="0" applyNumberFormat="1" applyFont="1" applyFill="1" applyBorder="1" applyAlignment="1">
      <alignment vertical="center"/>
    </xf>
    <xf numFmtId="3" fontId="30" fillId="0" borderId="18" xfId="0" applyNumberFormat="1" applyFont="1" applyFill="1" applyBorder="1" applyAlignment="1">
      <alignment vertical="center"/>
    </xf>
    <xf numFmtId="0" fontId="29" fillId="6" borderId="24" xfId="0" applyFont="1" applyFill="1" applyBorder="1" applyAlignment="1">
      <alignment horizontal="center" vertical="center"/>
    </xf>
    <xf numFmtId="0" fontId="5" fillId="6" borderId="9" xfId="0" applyFont="1" applyFill="1" applyBorder="1" applyAlignment="1">
      <alignment vertical="center"/>
    </xf>
    <xf numFmtId="3" fontId="5" fillId="6" borderId="1" xfId="0" applyNumberFormat="1" applyFont="1" applyFill="1" applyBorder="1" applyAlignment="1">
      <alignment horizontal="right" vertical="center"/>
    </xf>
    <xf numFmtId="3" fontId="25" fillId="6" borderId="9" xfId="0" applyNumberFormat="1" applyFont="1" applyFill="1" applyBorder="1" applyAlignment="1">
      <alignment horizontal="right" vertical="center"/>
    </xf>
    <xf numFmtId="3" fontId="5" fillId="6" borderId="3" xfId="0" applyNumberFormat="1" applyFont="1" applyFill="1" applyBorder="1" applyAlignment="1">
      <alignment horizontal="right" vertical="center"/>
    </xf>
    <xf numFmtId="164" fontId="5" fillId="6" borderId="10" xfId="0" applyNumberFormat="1" applyFont="1" applyFill="1" applyBorder="1" applyAlignment="1">
      <alignment horizontal="right" vertical="center"/>
    </xf>
    <xf numFmtId="0" fontId="5" fillId="6" borderId="0" xfId="0" applyFont="1" applyFill="1" applyAlignment="1">
      <alignment vertical="center"/>
    </xf>
    <xf numFmtId="0" fontId="3" fillId="6" borderId="7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vertical="center"/>
    </xf>
    <xf numFmtId="164" fontId="5" fillId="6" borderId="2" xfId="0" applyNumberFormat="1" applyFont="1" applyFill="1" applyBorder="1" applyAlignment="1">
      <alignment horizontal="right" vertical="center"/>
    </xf>
    <xf numFmtId="3" fontId="25" fillId="6" borderId="7" xfId="0" applyNumberFormat="1" applyFont="1" applyFill="1" applyBorder="1" applyAlignment="1">
      <alignment horizontal="right" vertical="center"/>
    </xf>
    <xf numFmtId="3" fontId="5" fillId="6" borderId="5" xfId="0" applyNumberFormat="1" applyFont="1" applyFill="1" applyBorder="1" applyAlignment="1">
      <alignment horizontal="right" vertical="center"/>
    </xf>
    <xf numFmtId="164" fontId="5" fillId="6" borderId="4" xfId="0" applyNumberFormat="1" applyFont="1" applyFill="1" applyBorder="1" applyAlignment="1">
      <alignment horizontal="right" vertical="center"/>
    </xf>
    <xf numFmtId="3" fontId="5" fillId="6" borderId="2" xfId="0" applyNumberFormat="1" applyFont="1" applyFill="1" applyBorder="1" applyAlignment="1">
      <alignment horizontal="right" vertical="center"/>
    </xf>
    <xf numFmtId="164" fontId="5" fillId="6" borderId="4" xfId="0" applyNumberFormat="1" applyFont="1" applyFill="1" applyBorder="1" applyAlignment="1">
      <alignment horizontal="right" vertical="center" shrinkToFit="1"/>
    </xf>
    <xf numFmtId="164" fontId="5" fillId="6" borderId="23" xfId="0" applyNumberFormat="1" applyFont="1" applyFill="1" applyBorder="1" applyAlignment="1">
      <alignment horizontal="right" vertical="center"/>
    </xf>
    <xf numFmtId="0" fontId="5" fillId="6" borderId="0" xfId="0" applyFont="1" applyFill="1"/>
    <xf numFmtId="0" fontId="29" fillId="6" borderId="7" xfId="0" applyFont="1" applyFill="1" applyBorder="1" applyAlignment="1">
      <alignment horizontal="center" vertical="center"/>
    </xf>
    <xf numFmtId="0" fontId="5" fillId="6" borderId="17" xfId="0" applyFont="1" applyFill="1" applyBorder="1" applyAlignment="1">
      <alignment horizontal="left" vertical="center"/>
    </xf>
    <xf numFmtId="0" fontId="29" fillId="0" borderId="7" xfId="0" applyFont="1" applyFill="1" applyBorder="1" applyAlignment="1">
      <alignment horizontal="center" vertical="center"/>
    </xf>
    <xf numFmtId="0" fontId="5" fillId="6" borderId="26" xfId="0" applyFont="1" applyFill="1" applyBorder="1" applyAlignment="1">
      <alignment horizontal="left" vertical="center" wrapText="1"/>
    </xf>
    <xf numFmtId="3" fontId="5" fillId="6" borderId="3" xfId="0" applyNumberFormat="1" applyFont="1" applyFill="1" applyBorder="1" applyAlignment="1"/>
    <xf numFmtId="3" fontId="25" fillId="6" borderId="9" xfId="0" applyNumberFormat="1" applyFont="1" applyFill="1" applyBorder="1" applyAlignment="1"/>
    <xf numFmtId="0" fontId="29" fillId="6" borderId="7" xfId="0" applyFont="1" applyFill="1" applyBorder="1" applyAlignment="1">
      <alignment horizontal="center"/>
    </xf>
    <xf numFmtId="0" fontId="5" fillId="6" borderId="27" xfId="0" applyFont="1" applyFill="1" applyBorder="1" applyAlignment="1">
      <alignment horizontal="left"/>
    </xf>
    <xf numFmtId="3" fontId="5" fillId="6" borderId="5" xfId="0" applyNumberFormat="1" applyFont="1" applyFill="1" applyBorder="1" applyAlignment="1"/>
    <xf numFmtId="3" fontId="25" fillId="6" borderId="7" xfId="0" applyNumberFormat="1" applyFont="1" applyFill="1" applyBorder="1" applyAlignment="1"/>
    <xf numFmtId="164" fontId="5" fillId="6" borderId="4" xfId="0" applyNumberFormat="1" applyFont="1" applyFill="1" applyBorder="1" applyAlignment="1">
      <alignment horizontal="right"/>
    </xf>
    <xf numFmtId="0" fontId="5" fillId="6" borderId="0" xfId="0" applyFont="1" applyFill="1" applyAlignment="1"/>
    <xf numFmtId="0" fontId="5" fillId="6" borderId="28" xfId="0" applyFont="1" applyFill="1" applyBorder="1" applyAlignment="1">
      <alignment horizontal="left"/>
    </xf>
    <xf numFmtId="3" fontId="25" fillId="6" borderId="18" xfId="0" applyNumberFormat="1" applyFont="1" applyFill="1" applyBorder="1" applyAlignment="1"/>
    <xf numFmtId="3" fontId="5" fillId="6" borderId="6" xfId="0" applyNumberFormat="1" applyFont="1" applyFill="1" applyBorder="1" applyAlignment="1"/>
    <xf numFmtId="0" fontId="29" fillId="0" borderId="19" xfId="0" applyFont="1" applyFill="1" applyBorder="1" applyAlignment="1">
      <alignment horizontal="center" vertical="center"/>
    </xf>
    <xf numFmtId="0" fontId="29" fillId="7" borderId="8" xfId="0" applyFont="1" applyFill="1" applyBorder="1" applyAlignment="1">
      <alignment horizontal="center" vertical="center"/>
    </xf>
    <xf numFmtId="0" fontId="5" fillId="7" borderId="25" xfId="0" applyFont="1" applyFill="1" applyBorder="1" applyAlignment="1">
      <alignment horizontal="left" vertical="center"/>
    </xf>
    <xf numFmtId="3" fontId="5" fillId="7" borderId="12" xfId="0" applyNumberFormat="1" applyFont="1" applyFill="1" applyBorder="1" applyAlignment="1">
      <alignment vertical="center"/>
    </xf>
    <xf numFmtId="3" fontId="25" fillId="7" borderId="8" xfId="0" applyNumberFormat="1" applyFont="1" applyFill="1" applyBorder="1" applyAlignment="1">
      <alignment vertical="center"/>
    </xf>
    <xf numFmtId="164" fontId="5" fillId="7" borderId="15" xfId="0" applyNumberFormat="1" applyFont="1" applyFill="1" applyBorder="1" applyAlignment="1">
      <alignment horizontal="right" vertical="top"/>
    </xf>
    <xf numFmtId="3" fontId="31" fillId="0" borderId="0" xfId="0" applyNumberFormat="1" applyFont="1" applyFill="1"/>
    <xf numFmtId="164" fontId="31" fillId="0" borderId="0" xfId="0" applyNumberFormat="1" applyFont="1" applyFill="1" applyBorder="1" applyAlignment="1">
      <alignment horizontal="right"/>
    </xf>
    <xf numFmtId="0" fontId="31" fillId="0" borderId="0" xfId="0" applyFont="1" applyFill="1"/>
    <xf numFmtId="0" fontId="32" fillId="0" borderId="0" xfId="0" applyFont="1" applyFill="1" applyAlignment="1"/>
    <xf numFmtId="0" fontId="32" fillId="0" borderId="0" xfId="0" applyFont="1" applyFill="1"/>
    <xf numFmtId="0" fontId="20" fillId="0" borderId="0" xfId="0" applyFont="1" applyFill="1" applyBorder="1"/>
    <xf numFmtId="3" fontId="20" fillId="0" borderId="0" xfId="0" applyNumberFormat="1" applyFont="1" applyFill="1" applyBorder="1"/>
    <xf numFmtId="3" fontId="11" fillId="0" borderId="0" xfId="0" applyNumberFormat="1" applyFont="1" applyFill="1" applyBorder="1"/>
    <xf numFmtId="0" fontId="3" fillId="0" borderId="0" xfId="0" applyFont="1" applyFill="1" applyBorder="1"/>
    <xf numFmtId="3" fontId="3" fillId="0" borderId="0" xfId="0" applyNumberFormat="1" applyFont="1" applyFill="1" applyBorder="1"/>
    <xf numFmtId="3" fontId="28" fillId="0" borderId="0" xfId="0" applyNumberFormat="1" applyFont="1" applyFill="1" applyBorder="1"/>
    <xf numFmtId="0" fontId="15" fillId="0" borderId="0" xfId="0" applyFont="1" applyFill="1" applyBorder="1"/>
    <xf numFmtId="3" fontId="15" fillId="0" borderId="0" xfId="0" applyNumberFormat="1" applyFont="1" applyFill="1" applyBorder="1"/>
    <xf numFmtId="0" fontId="22" fillId="0" borderId="0" xfId="0" applyFont="1" applyFill="1" applyBorder="1"/>
    <xf numFmtId="3" fontId="22" fillId="0" borderId="0" xfId="0" applyNumberFormat="1" applyFont="1" applyFill="1" applyBorder="1"/>
    <xf numFmtId="0" fontId="6" fillId="0" borderId="0" xfId="0" applyFont="1" applyFill="1" applyBorder="1"/>
    <xf numFmtId="3" fontId="6" fillId="0" borderId="0" xfId="0" applyNumberFormat="1" applyFont="1" applyFill="1" applyBorder="1"/>
    <xf numFmtId="0" fontId="6" fillId="4" borderId="0" xfId="0" applyFont="1" applyFill="1" applyBorder="1"/>
    <xf numFmtId="3" fontId="6" fillId="4" borderId="0" xfId="0" applyNumberFormat="1" applyFont="1" applyFill="1" applyBorder="1"/>
    <xf numFmtId="3" fontId="11" fillId="4" borderId="0" xfId="0" applyNumberFormat="1" applyFont="1" applyFill="1" applyBorder="1"/>
    <xf numFmtId="0" fontId="6" fillId="5" borderId="0" xfId="0" applyFont="1" applyFill="1" applyBorder="1"/>
    <xf numFmtId="3" fontId="6" fillId="5" borderId="0" xfId="0" applyNumberFormat="1" applyFont="1" applyFill="1" applyBorder="1"/>
    <xf numFmtId="3" fontId="11" fillId="5" borderId="0" xfId="0" applyNumberFormat="1" applyFont="1" applyFill="1" applyBorder="1"/>
    <xf numFmtId="0" fontId="3" fillId="2" borderId="32" xfId="0" applyFont="1" applyFill="1" applyBorder="1" applyAlignment="1">
      <alignment horizontal="center" vertical="center"/>
    </xf>
    <xf numFmtId="0" fontId="7" fillId="0" borderId="32" xfId="0" applyFont="1" applyFill="1" applyBorder="1" applyAlignment="1">
      <alignment horizontal="left" vertical="center"/>
    </xf>
    <xf numFmtId="3" fontId="7" fillId="0" borderId="42" xfId="0" applyNumberFormat="1" applyFont="1" applyFill="1" applyBorder="1" applyAlignment="1">
      <alignment vertical="center"/>
    </xf>
    <xf numFmtId="3" fontId="26" fillId="0" borderId="32" xfId="0" applyNumberFormat="1" applyFont="1" applyFill="1" applyBorder="1" applyAlignment="1">
      <alignment vertical="center"/>
    </xf>
    <xf numFmtId="3" fontId="7" fillId="0" borderId="36" xfId="0" applyNumberFormat="1" applyFont="1" applyFill="1" applyBorder="1" applyAlignment="1">
      <alignment vertical="center"/>
    </xf>
    <xf numFmtId="164" fontId="7" fillId="0" borderId="39" xfId="0" applyNumberFormat="1" applyFont="1" applyFill="1" applyBorder="1" applyAlignment="1">
      <alignment horizontal="right" vertical="center"/>
    </xf>
    <xf numFmtId="3" fontId="33" fillId="0" borderId="0" xfId="0" applyNumberFormat="1" applyFont="1" applyFill="1" applyAlignment="1"/>
    <xf numFmtId="3" fontId="33" fillId="0" borderId="0" xfId="0" applyNumberFormat="1" applyFont="1" applyFill="1"/>
    <xf numFmtId="3" fontId="32" fillId="0" borderId="0" xfId="0" applyNumberFormat="1" applyFont="1" applyFill="1"/>
    <xf numFmtId="164" fontId="5" fillId="6" borderId="4" xfId="0" applyNumberFormat="1" applyFont="1" applyFill="1" applyBorder="1" applyAlignment="1">
      <alignment vertical="center"/>
    </xf>
    <xf numFmtId="164" fontId="23" fillId="3" borderId="15" xfId="0" applyNumberFormat="1" applyFont="1" applyFill="1" applyBorder="1" applyAlignment="1">
      <alignment horizontal="right"/>
    </xf>
    <xf numFmtId="164" fontId="32" fillId="0" borderId="0" xfId="0" applyNumberFormat="1" applyFont="1" applyFill="1" applyBorder="1" applyAlignment="1">
      <alignment horizontal="right"/>
    </xf>
    <xf numFmtId="3" fontId="29" fillId="0" borderId="6" xfId="0" applyNumberFormat="1" applyFont="1" applyFill="1" applyBorder="1" applyAlignment="1">
      <alignment vertical="center" wrapText="1"/>
    </xf>
    <xf numFmtId="0" fontId="0" fillId="0" borderId="36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164" fontId="29" fillId="0" borderId="41" xfId="0" applyNumberFormat="1" applyFont="1" applyFill="1" applyBorder="1" applyAlignment="1">
      <alignment horizontal="right" vertical="center" wrapText="1"/>
    </xf>
    <xf numFmtId="0" fontId="0" fillId="0" borderId="39" xfId="0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3" fontId="4" fillId="3" borderId="34" xfId="0" applyNumberFormat="1" applyFont="1" applyFill="1" applyBorder="1" applyAlignment="1">
      <alignment horizontal="center"/>
    </xf>
    <xf numFmtId="0" fontId="0" fillId="3" borderId="34" xfId="0" applyFill="1" applyBorder="1" applyAlignment="1"/>
    <xf numFmtId="0" fontId="0" fillId="3" borderId="25" xfId="0" applyFill="1" applyBorder="1" applyAlignment="1"/>
    <xf numFmtId="0" fontId="2" fillId="3" borderId="35" xfId="0" applyFont="1" applyFill="1" applyBorder="1" applyAlignment="1">
      <alignment horizontal="center" vertical="center"/>
    </xf>
    <xf numFmtId="0" fontId="2" fillId="3" borderId="36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vertical="center"/>
    </xf>
    <xf numFmtId="164" fontId="6" fillId="3" borderId="38" xfId="0" applyNumberFormat="1" applyFont="1" applyFill="1" applyBorder="1" applyAlignment="1">
      <alignment horizontal="center" vertical="center" wrapText="1"/>
    </xf>
    <xf numFmtId="164" fontId="6" fillId="3" borderId="39" xfId="0" applyNumberFormat="1" applyFont="1" applyFill="1" applyBorder="1" applyAlignment="1">
      <alignment horizontal="center" vertical="center" wrapText="1"/>
    </xf>
    <xf numFmtId="164" fontId="6" fillId="3" borderId="40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3" fontId="25" fillId="3" borderId="31" xfId="0" applyNumberFormat="1" applyFont="1" applyFill="1" applyBorder="1" applyAlignment="1">
      <alignment horizontal="center" vertical="center" wrapText="1"/>
    </xf>
    <xf numFmtId="3" fontId="25" fillId="3" borderId="32" xfId="0" applyNumberFormat="1" applyFont="1" applyFill="1" applyBorder="1" applyAlignment="1">
      <alignment horizontal="center" vertical="center" wrapText="1"/>
    </xf>
    <xf numFmtId="3" fontId="25" fillId="3" borderId="33" xfId="0" applyNumberFormat="1" applyFont="1" applyFill="1" applyBorder="1" applyAlignment="1">
      <alignment horizontal="center" vertical="center" wrapText="1"/>
    </xf>
    <xf numFmtId="0" fontId="16" fillId="3" borderId="31" xfId="0" applyFont="1" applyFill="1" applyBorder="1" applyAlignment="1">
      <alignment horizontal="center" vertical="center"/>
    </xf>
    <xf numFmtId="0" fontId="16" fillId="3" borderId="32" xfId="0" applyFont="1" applyFill="1" applyBorder="1" applyAlignment="1">
      <alignment horizontal="center" vertical="center"/>
    </xf>
    <xf numFmtId="0" fontId="16" fillId="3" borderId="33" xfId="0" applyFont="1" applyFill="1" applyBorder="1" applyAlignment="1">
      <alignment horizontal="center" vertical="center"/>
    </xf>
    <xf numFmtId="3" fontId="5" fillId="3" borderId="31" xfId="0" applyNumberFormat="1" applyFont="1" applyFill="1" applyBorder="1" applyAlignment="1">
      <alignment horizontal="center" vertical="center" wrapText="1"/>
    </xf>
    <xf numFmtId="3" fontId="5" fillId="3" borderId="32" xfId="0" applyNumberFormat="1" applyFont="1" applyFill="1" applyBorder="1" applyAlignment="1">
      <alignment horizontal="center" vertical="center" wrapText="1"/>
    </xf>
    <xf numFmtId="3" fontId="5" fillId="3" borderId="33" xfId="0" applyNumberFormat="1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textRotation="90"/>
    </xf>
    <xf numFmtId="0" fontId="6" fillId="3" borderId="32" xfId="0" applyFont="1" applyFill="1" applyBorder="1" applyAlignment="1">
      <alignment horizontal="center" vertical="center" textRotation="90"/>
    </xf>
    <xf numFmtId="0" fontId="6" fillId="3" borderId="33" xfId="0" applyFont="1" applyFill="1" applyBorder="1" applyAlignment="1">
      <alignment horizontal="center" vertical="center" textRotation="90"/>
    </xf>
  </cellXfs>
  <cellStyles count="2">
    <cellStyle name="Normální" xfId="0" builtinId="0"/>
    <cellStyle name="normální_Sešit1" xfId="1"/>
  </cellStyles>
  <dxfs count="0"/>
  <tableStyles count="0" defaultTableStyle="TableStyleMedium2" defaultPivotStyle="PivotStyleLight16"/>
  <colors>
    <mruColors>
      <color rgb="FFCC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B116"/>
  <sheetViews>
    <sheetView showGridLines="0" tabSelected="1" topLeftCell="A10" zoomScaleNormal="100" workbookViewId="0">
      <selection activeCell="H8" sqref="H8"/>
    </sheetView>
  </sheetViews>
  <sheetFormatPr defaultRowHeight="12.75" x14ac:dyDescent="0.2"/>
  <cols>
    <col min="1" max="1" width="5.28515625" style="2" customWidth="1"/>
    <col min="2" max="2" width="49.85546875" style="2" customWidth="1"/>
    <col min="3" max="3" width="20.28515625" style="15" customWidth="1"/>
    <col min="4" max="4" width="20.28515625" style="92" hidden="1" customWidth="1"/>
    <col min="5" max="5" width="20.28515625" style="15" customWidth="1"/>
    <col min="6" max="6" width="7.140625" style="51" customWidth="1"/>
    <col min="7" max="7" width="20.28515625" style="15" customWidth="1"/>
    <col min="8" max="8" width="7.140625" style="51" customWidth="1"/>
    <col min="9" max="16384" width="9.140625" style="2"/>
  </cols>
  <sheetData>
    <row r="1" spans="1:184" ht="25.5" customHeight="1" x14ac:dyDescent="0.25">
      <c r="A1" s="1" t="s">
        <v>47</v>
      </c>
      <c r="C1" s="19"/>
      <c r="D1" s="81"/>
      <c r="E1" s="1"/>
      <c r="F1" s="43"/>
      <c r="G1" s="1"/>
      <c r="H1" s="2"/>
    </row>
    <row r="2" spans="1:184" ht="18.75" thickBot="1" x14ac:dyDescent="0.3">
      <c r="A2" s="1"/>
      <c r="C2" s="19"/>
      <c r="D2" s="81"/>
      <c r="E2" s="1"/>
      <c r="F2" s="43"/>
      <c r="G2" s="1"/>
      <c r="H2" s="43" t="s">
        <v>41</v>
      </c>
    </row>
    <row r="3" spans="1:184" ht="17.25" customHeight="1" thickTop="1" thickBot="1" x14ac:dyDescent="0.3">
      <c r="A3" s="233" t="s">
        <v>37</v>
      </c>
      <c r="B3" s="227" t="s">
        <v>18</v>
      </c>
      <c r="C3" s="230" t="s">
        <v>48</v>
      </c>
      <c r="D3" s="224" t="s">
        <v>33</v>
      </c>
      <c r="E3" s="214" t="s">
        <v>0</v>
      </c>
      <c r="F3" s="214"/>
      <c r="G3" s="215"/>
      <c r="H3" s="216"/>
    </row>
    <row r="4" spans="1:184" s="3" customFormat="1" ht="18.75" customHeight="1" thickTop="1" x14ac:dyDescent="0.2">
      <c r="A4" s="234"/>
      <c r="B4" s="228"/>
      <c r="C4" s="231"/>
      <c r="D4" s="225"/>
      <c r="E4" s="217">
        <v>2013</v>
      </c>
      <c r="F4" s="220" t="s">
        <v>49</v>
      </c>
      <c r="G4" s="217">
        <v>2014</v>
      </c>
      <c r="H4" s="220" t="s">
        <v>74</v>
      </c>
    </row>
    <row r="5" spans="1:184" s="4" customFormat="1" ht="31.5" customHeight="1" x14ac:dyDescent="0.2">
      <c r="A5" s="234"/>
      <c r="B5" s="228"/>
      <c r="C5" s="231"/>
      <c r="D5" s="225"/>
      <c r="E5" s="218"/>
      <c r="F5" s="221"/>
      <c r="G5" s="218"/>
      <c r="H5" s="221"/>
    </row>
    <row r="6" spans="1:184" s="4" customFormat="1" ht="13.5" customHeight="1" thickBot="1" x14ac:dyDescent="0.25">
      <c r="A6" s="235"/>
      <c r="B6" s="229"/>
      <c r="C6" s="232"/>
      <c r="D6" s="226"/>
      <c r="E6" s="219"/>
      <c r="F6" s="222"/>
      <c r="G6" s="219"/>
      <c r="H6" s="222"/>
    </row>
    <row r="7" spans="1:184" s="141" customFormat="1" ht="17.100000000000001" customHeight="1" thickTop="1" x14ac:dyDescent="0.2">
      <c r="A7" s="135">
        <v>1</v>
      </c>
      <c r="B7" s="136" t="s">
        <v>1</v>
      </c>
      <c r="C7" s="137">
        <f>SUM(C8:C10)</f>
        <v>3190623</v>
      </c>
      <c r="D7" s="138">
        <f>SUM(D8:D10)</f>
        <v>1549100</v>
      </c>
      <c r="E7" s="139">
        <f>SUM(E8:E10)</f>
        <v>3222497</v>
      </c>
      <c r="F7" s="140">
        <f t="shared" ref="F7:F11" si="0">E7/C7*100</f>
        <v>100.99898985245201</v>
      </c>
      <c r="G7" s="139">
        <f>SUM(G8:G10)</f>
        <v>3286834</v>
      </c>
      <c r="H7" s="140">
        <f>G7/C7*100</f>
        <v>103.01542990193451</v>
      </c>
    </row>
    <row r="8" spans="1:184" s="5" customFormat="1" ht="17.100000000000001" customHeight="1" x14ac:dyDescent="0.2">
      <c r="A8" s="98">
        <v>2</v>
      </c>
      <c r="B8" s="38" t="s">
        <v>10</v>
      </c>
      <c r="C8" s="29">
        <v>3185000</v>
      </c>
      <c r="D8" s="82">
        <v>1548053</v>
      </c>
      <c r="E8" s="33">
        <f>C8*1.01</f>
        <v>3216850</v>
      </c>
      <c r="F8" s="34">
        <f>E8/C8*100</f>
        <v>101</v>
      </c>
      <c r="G8" s="33">
        <f>E8*1.02</f>
        <v>3281187</v>
      </c>
      <c r="H8" s="34">
        <f>G8/C8*100</f>
        <v>103.02</v>
      </c>
    </row>
    <row r="9" spans="1:184" s="5" customFormat="1" ht="17.100000000000001" customHeight="1" x14ac:dyDescent="0.2">
      <c r="A9" s="98">
        <v>3</v>
      </c>
      <c r="B9" s="38" t="s">
        <v>72</v>
      </c>
      <c r="C9" s="29">
        <v>4647</v>
      </c>
      <c r="D9" s="82"/>
      <c r="E9" s="33">
        <f>C9</f>
        <v>4647</v>
      </c>
      <c r="F9" s="34">
        <f t="shared" ref="F9:F10" si="1">E9/C9*100</f>
        <v>100</v>
      </c>
      <c r="G9" s="33">
        <f>E9</f>
        <v>4647</v>
      </c>
      <c r="H9" s="34">
        <f t="shared" ref="H9:H10" si="2">G9/C9*100</f>
        <v>100</v>
      </c>
    </row>
    <row r="10" spans="1:184" s="5" customFormat="1" ht="17.100000000000001" customHeight="1" x14ac:dyDescent="0.2">
      <c r="A10" s="98">
        <v>4</v>
      </c>
      <c r="B10" s="38" t="s">
        <v>11</v>
      </c>
      <c r="C10" s="29">
        <v>976</v>
      </c>
      <c r="D10" s="82">
        <f>169+878</f>
        <v>1047</v>
      </c>
      <c r="E10" s="33">
        <v>1000</v>
      </c>
      <c r="F10" s="34">
        <f t="shared" si="1"/>
        <v>102.45901639344261</v>
      </c>
      <c r="G10" s="33">
        <f>E10</f>
        <v>1000</v>
      </c>
      <c r="H10" s="34">
        <f t="shared" si="2"/>
        <v>102.45901639344261</v>
      </c>
    </row>
    <row r="11" spans="1:184" s="141" customFormat="1" ht="17.100000000000001" customHeight="1" x14ac:dyDescent="0.2">
      <c r="A11" s="142">
        <v>5</v>
      </c>
      <c r="B11" s="143" t="s">
        <v>2</v>
      </c>
      <c r="C11" s="144">
        <f>SUM(C12:C17)</f>
        <v>240867</v>
      </c>
      <c r="D11" s="145">
        <f>SUM(D12:D17)</f>
        <v>207231</v>
      </c>
      <c r="E11" s="146">
        <f>SUM(E12:E17)</f>
        <v>242702.24</v>
      </c>
      <c r="F11" s="147">
        <f t="shared" si="0"/>
        <v>100.7619308581084</v>
      </c>
      <c r="G11" s="146">
        <f>SUM(G12:G17)</f>
        <v>239254.80479999998</v>
      </c>
      <c r="H11" s="147">
        <f>G11/C11*100</f>
        <v>99.33066995478832</v>
      </c>
      <c r="GB11" s="141">
        <v>761937.54647170787</v>
      </c>
    </row>
    <row r="12" spans="1:184" s="5" customFormat="1" ht="17.100000000000001" customHeight="1" x14ac:dyDescent="0.2">
      <c r="A12" s="98">
        <v>6</v>
      </c>
      <c r="B12" s="38" t="s">
        <v>13</v>
      </c>
      <c r="C12" s="116">
        <v>38227.199999999997</v>
      </c>
      <c r="D12" s="83">
        <f>8+18502+112</f>
        <v>18622</v>
      </c>
      <c r="E12" s="35">
        <f>C12-0.2</f>
        <v>38227</v>
      </c>
      <c r="F12" s="34">
        <f>E12/C12*100</f>
        <v>99.999476812322115</v>
      </c>
      <c r="G12" s="35">
        <f>E12</f>
        <v>38227</v>
      </c>
      <c r="H12" s="34">
        <f>G12/C12*100</f>
        <v>99.999476812322115</v>
      </c>
    </row>
    <row r="13" spans="1:184" s="5" customFormat="1" ht="17.100000000000001" customHeight="1" x14ac:dyDescent="0.2">
      <c r="A13" s="98">
        <v>7</v>
      </c>
      <c r="B13" s="38" t="s">
        <v>14</v>
      </c>
      <c r="C13" s="30">
        <v>3360</v>
      </c>
      <c r="D13" s="83">
        <v>5285</v>
      </c>
      <c r="E13" s="35">
        <f>C13</f>
        <v>3360</v>
      </c>
      <c r="F13" s="34">
        <f t="shared" ref="F13:F17" si="3">E13/C13*100</f>
        <v>100</v>
      </c>
      <c r="G13" s="35">
        <f>E13</f>
        <v>3360</v>
      </c>
      <c r="H13" s="34">
        <f t="shared" ref="H13:H16" si="4">G13/C13*100</f>
        <v>100</v>
      </c>
    </row>
    <row r="14" spans="1:184" s="5" customFormat="1" ht="17.100000000000001" customHeight="1" x14ac:dyDescent="0.2">
      <c r="A14" s="98">
        <v>8</v>
      </c>
      <c r="B14" s="38" t="s">
        <v>15</v>
      </c>
      <c r="C14" s="116">
        <v>12000.2</v>
      </c>
      <c r="D14" s="83">
        <v>8737</v>
      </c>
      <c r="E14" s="35">
        <v>12000</v>
      </c>
      <c r="F14" s="34">
        <f t="shared" si="3"/>
        <v>99.998333361110653</v>
      </c>
      <c r="G14" s="35">
        <v>12000</v>
      </c>
      <c r="H14" s="34">
        <f t="shared" si="4"/>
        <v>99.998333361110653</v>
      </c>
    </row>
    <row r="15" spans="1:184" s="5" customFormat="1" ht="17.100000000000001" customHeight="1" x14ac:dyDescent="0.2">
      <c r="A15" s="98">
        <v>9</v>
      </c>
      <c r="B15" s="38" t="s">
        <v>16</v>
      </c>
      <c r="C15" s="30">
        <v>136806</v>
      </c>
      <c r="D15" s="83">
        <v>147080</v>
      </c>
      <c r="E15" s="35">
        <f>C15*1.04</f>
        <v>142278.24</v>
      </c>
      <c r="F15" s="34">
        <f t="shared" si="3"/>
        <v>104</v>
      </c>
      <c r="G15" s="35">
        <f>E15*1.02</f>
        <v>145123.80479999998</v>
      </c>
      <c r="H15" s="34">
        <f t="shared" si="4"/>
        <v>106.08</v>
      </c>
    </row>
    <row r="16" spans="1:184" s="5" customFormat="1" ht="17.100000000000001" customHeight="1" x14ac:dyDescent="0.2">
      <c r="A16" s="98">
        <v>10</v>
      </c>
      <c r="B16" s="38" t="s">
        <v>34</v>
      </c>
      <c r="C16" s="116">
        <f>144+10329.6</f>
        <v>10473.6</v>
      </c>
      <c r="D16" s="83">
        <v>92</v>
      </c>
      <c r="E16" s="35">
        <f>144+300+1221+50+3122+2000</f>
        <v>6837</v>
      </c>
      <c r="F16" s="34">
        <f t="shared" si="3"/>
        <v>65.278414298808428</v>
      </c>
      <c r="G16" s="35">
        <f>144+300+100</f>
        <v>544</v>
      </c>
      <c r="H16" s="34">
        <f t="shared" si="4"/>
        <v>5.1940116101435994</v>
      </c>
    </row>
    <row r="17" spans="1:8" s="5" customFormat="1" ht="17.100000000000001" customHeight="1" x14ac:dyDescent="0.2">
      <c r="A17" s="98">
        <v>11</v>
      </c>
      <c r="B17" s="38" t="s">
        <v>17</v>
      </c>
      <c r="C17" s="30">
        <v>40000</v>
      </c>
      <c r="D17" s="83">
        <v>27415</v>
      </c>
      <c r="E17" s="35">
        <f>C17</f>
        <v>40000</v>
      </c>
      <c r="F17" s="34">
        <f t="shared" si="3"/>
        <v>100</v>
      </c>
      <c r="G17" s="35">
        <f>E17</f>
        <v>40000</v>
      </c>
      <c r="H17" s="34">
        <f>G17/C17*100</f>
        <v>100</v>
      </c>
    </row>
    <row r="18" spans="1:8" s="141" customFormat="1" ht="17.100000000000001" customHeight="1" x14ac:dyDescent="0.2">
      <c r="A18" s="142">
        <v>12</v>
      </c>
      <c r="B18" s="143" t="s">
        <v>3</v>
      </c>
      <c r="C18" s="148">
        <v>13800</v>
      </c>
      <c r="D18" s="145">
        <f>2228+4874+19</f>
        <v>7121</v>
      </c>
      <c r="E18" s="146">
        <f>C18</f>
        <v>13800</v>
      </c>
      <c r="F18" s="147">
        <f>E18/C18*100</f>
        <v>100</v>
      </c>
      <c r="G18" s="146">
        <v>70000</v>
      </c>
      <c r="H18" s="147">
        <f>G18/C18*100</f>
        <v>507.24637681159425</v>
      </c>
    </row>
    <row r="19" spans="1:8" s="141" customFormat="1" ht="17.100000000000001" customHeight="1" x14ac:dyDescent="0.2">
      <c r="A19" s="142">
        <v>13</v>
      </c>
      <c r="B19" s="143" t="s">
        <v>4</v>
      </c>
      <c r="C19" s="148">
        <f>SUM(C20:C20)</f>
        <v>73669</v>
      </c>
      <c r="D19" s="145">
        <f>SUM(D20:D20)</f>
        <v>41970</v>
      </c>
      <c r="E19" s="146">
        <f>SUM(E20:E21)</f>
        <v>96719</v>
      </c>
      <c r="F19" s="149">
        <f>E19/C19*100</f>
        <v>131.2886017184976</v>
      </c>
      <c r="G19" s="146">
        <f>SUM(G20:G21)</f>
        <v>94319</v>
      </c>
      <c r="H19" s="147">
        <f>G19/C19*100</f>
        <v>128.03078635518332</v>
      </c>
    </row>
    <row r="20" spans="1:8" s="5" customFormat="1" ht="17.100000000000001" customHeight="1" x14ac:dyDescent="0.2">
      <c r="A20" s="98">
        <v>14</v>
      </c>
      <c r="B20" s="39" t="s">
        <v>12</v>
      </c>
      <c r="C20" s="31">
        <v>73669</v>
      </c>
      <c r="D20" s="84">
        <v>41970</v>
      </c>
      <c r="E20" s="36">
        <f>C20</f>
        <v>73669</v>
      </c>
      <c r="F20" s="34">
        <f>E20/C20*100</f>
        <v>100</v>
      </c>
      <c r="G20" s="36">
        <f>E20</f>
        <v>73669</v>
      </c>
      <c r="H20" s="34">
        <f>G20/C20*100</f>
        <v>100</v>
      </c>
    </row>
    <row r="21" spans="1:8" s="5" customFormat="1" ht="17.100000000000001" customHeight="1" thickBot="1" x14ac:dyDescent="0.25">
      <c r="A21" s="196">
        <v>15</v>
      </c>
      <c r="B21" s="197" t="s">
        <v>73</v>
      </c>
      <c r="C21" s="198"/>
      <c r="D21" s="199"/>
      <c r="E21" s="200">
        <v>23050</v>
      </c>
      <c r="F21" s="201"/>
      <c r="G21" s="200">
        <v>20650</v>
      </c>
      <c r="H21" s="34"/>
    </row>
    <row r="22" spans="1:8" s="78" customFormat="1" ht="27" customHeight="1" thickTop="1" thickBot="1" x14ac:dyDescent="0.3">
      <c r="A22" s="101">
        <v>16</v>
      </c>
      <c r="B22" s="40" t="s">
        <v>5</v>
      </c>
      <c r="C22" s="76">
        <f>SUM(C18:C19,C11,C7)</f>
        <v>3518959</v>
      </c>
      <c r="D22" s="86">
        <f>SUM(D18:D19,D11,D7)</f>
        <v>1805422</v>
      </c>
      <c r="E22" s="77">
        <f>SUM(E18:E19,E11,E7)</f>
        <v>3575718.24</v>
      </c>
      <c r="F22" s="206">
        <f>E22/C22*100</f>
        <v>101.61295542232803</v>
      </c>
      <c r="G22" s="77">
        <f>SUM(G18:G19,G11,G7)</f>
        <v>3690407.8048</v>
      </c>
      <c r="H22" s="206">
        <f>G22/C22*100</f>
        <v>104.87214556350331</v>
      </c>
    </row>
    <row r="23" spans="1:8" s="6" customFormat="1" ht="13.5" hidden="1" thickTop="1" x14ac:dyDescent="0.2">
      <c r="B23" s="7"/>
      <c r="C23" s="32" t="e">
        <f>SUM(#REF!)</f>
        <v>#REF!</v>
      </c>
      <c r="D23" s="32">
        <f>SUM(D87)</f>
        <v>0</v>
      </c>
      <c r="E23" s="32">
        <f>SUM(E87)</f>
        <v>200000</v>
      </c>
      <c r="F23" s="44">
        <f>SUM(F87)</f>
        <v>31.409304064049852</v>
      </c>
      <c r="G23" s="32">
        <f>SUM(G87)+G86</f>
        <v>0</v>
      </c>
      <c r="H23" s="44">
        <f>SUM(H87)</f>
        <v>0</v>
      </c>
    </row>
    <row r="24" spans="1:8" s="6" customFormat="1" ht="13.5" hidden="1" thickTop="1" x14ac:dyDescent="0.2">
      <c r="B24" s="7"/>
      <c r="C24" s="22" t="e">
        <f>SUM(C23:C23)</f>
        <v>#REF!</v>
      </c>
      <c r="D24" s="32">
        <f>SUM(D22:D23)</f>
        <v>1805422</v>
      </c>
      <c r="E24" s="22">
        <f>SUM(E22:E23)</f>
        <v>3775718.24</v>
      </c>
      <c r="F24" s="45">
        <f>SUM(F22:F23)</f>
        <v>133.02225948637789</v>
      </c>
      <c r="G24" s="22">
        <f>SUM(G22:G23)</f>
        <v>3690407.8048</v>
      </c>
      <c r="H24" s="22">
        <f>SUM(H22:H23)</f>
        <v>104.87214556350331</v>
      </c>
    </row>
    <row r="25" spans="1:8" s="24" customFormat="1" ht="13.5" hidden="1" thickTop="1" x14ac:dyDescent="0.2">
      <c r="B25" s="23"/>
      <c r="C25" s="22" t="e">
        <f>-SUM(#REF!)</f>
        <v>#REF!</v>
      </c>
      <c r="D25" s="32" t="e">
        <f>-SUM(#REF!)</f>
        <v>#REF!</v>
      </c>
      <c r="E25" s="22" t="e">
        <f>-SUM(#REF!)</f>
        <v>#REF!</v>
      </c>
      <c r="F25" s="45"/>
      <c r="G25" s="22" t="e">
        <f>-SUM(#REF!)</f>
        <v>#REF!</v>
      </c>
      <c r="H25" s="22" t="e">
        <f>-SUM(#REF!)</f>
        <v>#REF!</v>
      </c>
    </row>
    <row r="26" spans="1:8" s="24" customFormat="1" ht="13.5" hidden="1" thickTop="1" x14ac:dyDescent="0.2">
      <c r="B26" s="23"/>
      <c r="C26" s="22" t="e">
        <f t="shared" ref="C26:H26" si="5">SUM(C24:C25)</f>
        <v>#REF!</v>
      </c>
      <c r="D26" s="32" t="e">
        <f t="shared" si="5"/>
        <v>#REF!</v>
      </c>
      <c r="E26" s="22" t="e">
        <f t="shared" si="5"/>
        <v>#REF!</v>
      </c>
      <c r="F26" s="45">
        <f t="shared" si="5"/>
        <v>133.02225948637789</v>
      </c>
      <c r="G26" s="22" t="e">
        <f t="shared" si="5"/>
        <v>#REF!</v>
      </c>
      <c r="H26" s="22" t="e">
        <f t="shared" si="5"/>
        <v>#REF!</v>
      </c>
    </row>
    <row r="27" spans="1:8" s="24" customFormat="1" ht="13.5" hidden="1" thickTop="1" x14ac:dyDescent="0.2">
      <c r="B27" s="23"/>
      <c r="C27" s="22" t="e">
        <f>-SUM(#REF!)</f>
        <v>#REF!</v>
      </c>
      <c r="D27" s="32" t="e">
        <f>-SUM(#REF!)</f>
        <v>#REF!</v>
      </c>
      <c r="E27" s="22" t="e">
        <f>-SUM(#REF!)</f>
        <v>#REF!</v>
      </c>
      <c r="F27" s="22" t="e">
        <f>-SUM(#REF!)</f>
        <v>#REF!</v>
      </c>
      <c r="G27" s="22" t="e">
        <f>-SUM(#REF!)</f>
        <v>#REF!</v>
      </c>
      <c r="H27" s="22" t="e">
        <f>-SUM(#REF!)</f>
        <v>#REF!</v>
      </c>
    </row>
    <row r="28" spans="1:8" s="24" customFormat="1" ht="13.5" hidden="1" thickTop="1" x14ac:dyDescent="0.2">
      <c r="B28" s="23"/>
      <c r="C28" s="22" t="e">
        <f>-SUM(#REF!)</f>
        <v>#REF!</v>
      </c>
      <c r="D28" s="32">
        <f>-SUM(D89)</f>
        <v>0</v>
      </c>
      <c r="E28" s="22">
        <f>-SUM(E89)</f>
        <v>-200000</v>
      </c>
      <c r="F28" s="22">
        <f>-SUM(F89)</f>
        <v>-50.204205606303645</v>
      </c>
      <c r="G28" s="22">
        <f>-SUM(G89)-G86</f>
        <v>0</v>
      </c>
      <c r="H28" s="22">
        <f>-SUM(H89)-H86</f>
        <v>0</v>
      </c>
    </row>
    <row r="29" spans="1:8" s="6" customFormat="1" ht="13.5" hidden="1" thickTop="1" x14ac:dyDescent="0.2">
      <c r="B29" s="7"/>
      <c r="C29" s="16" t="e">
        <f t="shared" ref="C29:H29" si="6">SUM(C26:C28)</f>
        <v>#REF!</v>
      </c>
      <c r="D29" s="32" t="e">
        <f t="shared" si="6"/>
        <v>#REF!</v>
      </c>
      <c r="E29" s="16" t="e">
        <f t="shared" si="6"/>
        <v>#REF!</v>
      </c>
      <c r="F29" s="16" t="e">
        <f t="shared" si="6"/>
        <v>#REF!</v>
      </c>
      <c r="G29" s="16" t="e">
        <f t="shared" si="6"/>
        <v>#REF!</v>
      </c>
      <c r="H29" s="16" t="e">
        <f t="shared" si="6"/>
        <v>#REF!</v>
      </c>
    </row>
    <row r="30" spans="1:8" s="6" customFormat="1" ht="13.5" thickTop="1" x14ac:dyDescent="0.2">
      <c r="B30" s="7"/>
      <c r="C30" s="16"/>
      <c r="D30" s="32"/>
      <c r="E30" s="16"/>
      <c r="F30" s="16"/>
      <c r="G30" s="16"/>
      <c r="H30" s="16"/>
    </row>
    <row r="31" spans="1:8" s="6" customFormat="1" ht="13.5" thickBot="1" x14ac:dyDescent="0.25">
      <c r="B31" s="7"/>
      <c r="C31" s="16"/>
      <c r="D31" s="32"/>
      <c r="E31" s="8"/>
      <c r="F31" s="46"/>
      <c r="G31" s="8"/>
      <c r="H31" s="46"/>
    </row>
    <row r="32" spans="1:8" ht="17.25" customHeight="1" thickTop="1" thickBot="1" x14ac:dyDescent="0.3">
      <c r="A32" s="233" t="s">
        <v>37</v>
      </c>
      <c r="B32" s="227" t="s">
        <v>19</v>
      </c>
      <c r="C32" s="230" t="s">
        <v>48</v>
      </c>
      <c r="D32" s="224" t="s">
        <v>32</v>
      </c>
      <c r="E32" s="214" t="s">
        <v>0</v>
      </c>
      <c r="F32" s="214"/>
      <c r="G32" s="215"/>
      <c r="H32" s="216"/>
    </row>
    <row r="33" spans="1:8" s="3" customFormat="1" ht="18.75" customHeight="1" thickTop="1" x14ac:dyDescent="0.2">
      <c r="A33" s="234"/>
      <c r="B33" s="228"/>
      <c r="C33" s="231"/>
      <c r="D33" s="225"/>
      <c r="E33" s="217">
        <v>2013</v>
      </c>
      <c r="F33" s="220" t="s">
        <v>49</v>
      </c>
      <c r="G33" s="217">
        <v>2014</v>
      </c>
      <c r="H33" s="220" t="s">
        <v>74</v>
      </c>
    </row>
    <row r="34" spans="1:8" s="4" customFormat="1" ht="31.5" customHeight="1" x14ac:dyDescent="0.2">
      <c r="A34" s="234"/>
      <c r="B34" s="228"/>
      <c r="C34" s="231"/>
      <c r="D34" s="225"/>
      <c r="E34" s="218"/>
      <c r="F34" s="221"/>
      <c r="G34" s="218"/>
      <c r="H34" s="221"/>
    </row>
    <row r="35" spans="1:8" s="4" customFormat="1" ht="13.5" customHeight="1" thickBot="1" x14ac:dyDescent="0.25">
      <c r="A35" s="235"/>
      <c r="B35" s="229"/>
      <c r="C35" s="232"/>
      <c r="D35" s="226"/>
      <c r="E35" s="219"/>
      <c r="F35" s="222"/>
      <c r="G35" s="219"/>
      <c r="H35" s="222"/>
    </row>
    <row r="36" spans="1:8" s="151" customFormat="1" ht="32.25" customHeight="1" thickTop="1" x14ac:dyDescent="0.25">
      <c r="A36" s="135">
        <v>17</v>
      </c>
      <c r="B36" s="122" t="s">
        <v>46</v>
      </c>
      <c r="C36" s="123">
        <f>SUM(C37,C38,C39,C42,C43)</f>
        <v>1702161</v>
      </c>
      <c r="D36" s="123">
        <f>SUM(D37,D38,D39,D42,D43)</f>
        <v>0</v>
      </c>
      <c r="E36" s="123">
        <f>SUM(E37,E38,E39,E42,E43)</f>
        <v>1669461.45</v>
      </c>
      <c r="F36" s="150">
        <f t="shared" ref="F36" si="7">E36/C36*100</f>
        <v>98.078939066281038</v>
      </c>
      <c r="G36" s="123">
        <f>SUM(G37:G39,G42:G43)</f>
        <v>1605831.79</v>
      </c>
      <c r="H36" s="147">
        <f>G36/E36*100</f>
        <v>96.188611602861513</v>
      </c>
    </row>
    <row r="37" spans="1:8" s="41" customFormat="1" ht="16.5" customHeight="1" x14ac:dyDescent="0.25">
      <c r="A37" s="99">
        <v>18</v>
      </c>
      <c r="B37" s="117" t="s">
        <v>52</v>
      </c>
      <c r="C37" s="119">
        <f>502451</f>
        <v>502451</v>
      </c>
      <c r="D37" s="120"/>
      <c r="E37" s="119">
        <f>C37*0.95</f>
        <v>477328.44999999995</v>
      </c>
      <c r="F37" s="121">
        <f>E37/C37*100</f>
        <v>95</v>
      </c>
      <c r="G37" s="119">
        <f>C37*0.94</f>
        <v>472303.93999999994</v>
      </c>
      <c r="H37" s="121">
        <f>G37/C37*100</f>
        <v>93.999999999999986</v>
      </c>
    </row>
    <row r="38" spans="1:8" s="41" customFormat="1" ht="16.5" customHeight="1" x14ac:dyDescent="0.25">
      <c r="A38" s="99">
        <v>19</v>
      </c>
      <c r="B38" s="117" t="s">
        <v>53</v>
      </c>
      <c r="C38" s="119">
        <v>295441</v>
      </c>
      <c r="D38" s="120"/>
      <c r="E38" s="119">
        <v>265897</v>
      </c>
      <c r="F38" s="121">
        <f>E38/C38*100</f>
        <v>90.000033847705623</v>
      </c>
      <c r="G38" s="119">
        <f>C38*0.85</f>
        <v>251124.85</v>
      </c>
      <c r="H38" s="121">
        <f>G38/C38*100</f>
        <v>85</v>
      </c>
    </row>
    <row r="39" spans="1:8" s="41" customFormat="1" ht="16.5" customHeight="1" x14ac:dyDescent="0.25">
      <c r="A39" s="99">
        <v>20</v>
      </c>
      <c r="B39" s="117" t="s">
        <v>54</v>
      </c>
      <c r="C39" s="119">
        <f>SUM(C40:C41)</f>
        <v>781087</v>
      </c>
      <c r="D39" s="120"/>
      <c r="E39" s="119">
        <f>SUM(E40:E41)</f>
        <v>781087</v>
      </c>
      <c r="F39" s="121">
        <f t="shared" ref="F39" si="8">E39/C39*100</f>
        <v>100</v>
      </c>
      <c r="G39" s="119">
        <v>742033</v>
      </c>
      <c r="H39" s="121">
        <f t="shared" ref="H39:H42" si="9">G39/C39*100</f>
        <v>95.000044809349021</v>
      </c>
    </row>
    <row r="40" spans="1:8" s="17" customFormat="1" ht="16.5" customHeight="1" x14ac:dyDescent="0.2">
      <c r="A40" s="99">
        <v>21</v>
      </c>
      <c r="B40" s="79" t="s">
        <v>35</v>
      </c>
      <c r="C40" s="129">
        <v>367072</v>
      </c>
      <c r="D40" s="130"/>
      <c r="E40" s="129">
        <f>C40</f>
        <v>367072</v>
      </c>
      <c r="F40" s="131">
        <f>E40/C40*100</f>
        <v>100</v>
      </c>
      <c r="G40" s="129">
        <f>C40*0.95</f>
        <v>348718.39999999997</v>
      </c>
      <c r="H40" s="131">
        <f t="shared" si="9"/>
        <v>95</v>
      </c>
    </row>
    <row r="41" spans="1:8" s="17" customFormat="1" ht="16.5" customHeight="1" x14ac:dyDescent="0.2">
      <c r="A41" s="99">
        <v>22</v>
      </c>
      <c r="B41" s="79" t="s">
        <v>36</v>
      </c>
      <c r="C41" s="129">
        <v>414015</v>
      </c>
      <c r="D41" s="130"/>
      <c r="E41" s="129">
        <f>C41</f>
        <v>414015</v>
      </c>
      <c r="F41" s="131">
        <f>E41/C41*100</f>
        <v>100</v>
      </c>
      <c r="G41" s="129">
        <f>C41*0.95</f>
        <v>393314.25</v>
      </c>
      <c r="H41" s="131">
        <f t="shared" si="9"/>
        <v>95</v>
      </c>
    </row>
    <row r="42" spans="1:8" s="41" customFormat="1" ht="16.5" customHeight="1" x14ac:dyDescent="0.25">
      <c r="A42" s="99">
        <v>23</v>
      </c>
      <c r="B42" s="117" t="s">
        <v>55</v>
      </c>
      <c r="C42" s="119">
        <v>30000</v>
      </c>
      <c r="D42" s="120"/>
      <c r="E42" s="119">
        <f>C42*1</f>
        <v>30000</v>
      </c>
      <c r="F42" s="121">
        <f t="shared" ref="F42" si="10">E42/C42*100</f>
        <v>100</v>
      </c>
      <c r="G42" s="119">
        <f>E42*1</f>
        <v>30000</v>
      </c>
      <c r="H42" s="121">
        <f t="shared" si="9"/>
        <v>100</v>
      </c>
    </row>
    <row r="43" spans="1:8" s="41" customFormat="1" ht="16.5" customHeight="1" x14ac:dyDescent="0.25">
      <c r="A43" s="99">
        <v>24</v>
      </c>
      <c r="B43" s="117" t="s">
        <v>56</v>
      </c>
      <c r="C43" s="119">
        <f>SUM(C44:C46)</f>
        <v>93182</v>
      </c>
      <c r="D43" s="119">
        <f>SUM(D44:D46)</f>
        <v>0</v>
      </c>
      <c r="E43" s="119">
        <f>SUM(E44:E46)</f>
        <v>115149</v>
      </c>
      <c r="F43" s="121">
        <f t="shared" ref="F43:F48" si="11">E43/C43*100</f>
        <v>123.57429546478933</v>
      </c>
      <c r="G43" s="119">
        <f>SUM(G44:G46)</f>
        <v>110370</v>
      </c>
      <c r="H43" s="121">
        <f>G43/C43*100</f>
        <v>118.44562254512674</v>
      </c>
    </row>
    <row r="44" spans="1:8" s="17" customFormat="1" ht="16.5" customHeight="1" x14ac:dyDescent="0.2">
      <c r="A44" s="99">
        <v>25</v>
      </c>
      <c r="B44" s="80" t="s">
        <v>57</v>
      </c>
      <c r="C44" s="129">
        <v>25127</v>
      </c>
      <c r="D44" s="130"/>
      <c r="E44" s="129">
        <v>23775</v>
      </c>
      <c r="F44" s="131">
        <f>E44/C44*100</f>
        <v>94.619333784375371</v>
      </c>
      <c r="G44" s="129">
        <v>22422</v>
      </c>
      <c r="H44" s="131">
        <f>G44/C44*100</f>
        <v>89.234687786046891</v>
      </c>
    </row>
    <row r="45" spans="1:8" s="17" customFormat="1" ht="16.5" customHeight="1" x14ac:dyDescent="0.2">
      <c r="A45" s="99">
        <v>26</v>
      </c>
      <c r="B45" s="80" t="s">
        <v>42</v>
      </c>
      <c r="C45" s="129">
        <v>47711</v>
      </c>
      <c r="D45" s="130"/>
      <c r="E45" s="129">
        <v>70142</v>
      </c>
      <c r="F45" s="131">
        <f t="shared" si="11"/>
        <v>147.01431535704555</v>
      </c>
      <c r="G45" s="129">
        <v>68568</v>
      </c>
      <c r="H45" s="131">
        <f t="shared" ref="H45:H46" si="12">G45/C45*100</f>
        <v>143.71528578315272</v>
      </c>
    </row>
    <row r="46" spans="1:8" s="17" customFormat="1" ht="16.5" customHeight="1" x14ac:dyDescent="0.2">
      <c r="A46" s="99">
        <v>27</v>
      </c>
      <c r="B46" s="80" t="s">
        <v>39</v>
      </c>
      <c r="C46" s="129">
        <v>20344</v>
      </c>
      <c r="D46" s="130"/>
      <c r="E46" s="129">
        <v>21232</v>
      </c>
      <c r="F46" s="131">
        <f t="shared" si="11"/>
        <v>104.36492331891468</v>
      </c>
      <c r="G46" s="129">
        <v>19380</v>
      </c>
      <c r="H46" s="131">
        <f t="shared" si="12"/>
        <v>95.261502162799843</v>
      </c>
    </row>
    <row r="47" spans="1:8" s="141" customFormat="1" ht="15" customHeight="1" x14ac:dyDescent="0.2">
      <c r="A47" s="152">
        <v>28</v>
      </c>
      <c r="B47" s="153" t="s">
        <v>20</v>
      </c>
      <c r="C47" s="123">
        <f>SUM(C48:C51)</f>
        <v>1484099</v>
      </c>
      <c r="D47" s="124">
        <f>SUM(D48:D49)</f>
        <v>1354082</v>
      </c>
      <c r="E47" s="123">
        <f>SUM(E48:E51)</f>
        <v>1428840.25</v>
      </c>
      <c r="F47" s="147">
        <f>E47/C47*100</f>
        <v>96.276612948327568</v>
      </c>
      <c r="G47" s="123">
        <f>SUM(G48:G51)</f>
        <v>1417789</v>
      </c>
      <c r="H47" s="147">
        <f>G47/C47*100</f>
        <v>95.531969228467915</v>
      </c>
    </row>
    <row r="48" spans="1:8" s="41" customFormat="1" ht="16.5" customHeight="1" x14ac:dyDescent="0.25">
      <c r="A48" s="99">
        <v>29</v>
      </c>
      <c r="B48" s="117" t="s">
        <v>59</v>
      </c>
      <c r="C48" s="119">
        <f>325586+886+156608+393009+52309+300+181100+1000-6223+600</f>
        <v>1105175</v>
      </c>
      <c r="D48" s="120">
        <f>1147412</f>
        <v>1147412</v>
      </c>
      <c r="E48" s="119">
        <f>C48*0.95</f>
        <v>1049916.25</v>
      </c>
      <c r="F48" s="121">
        <f t="shared" si="11"/>
        <v>95</v>
      </c>
      <c r="G48" s="119">
        <v>1038865</v>
      </c>
      <c r="H48" s="121">
        <f>G48/C48*100</f>
        <v>94.000045241703802</v>
      </c>
    </row>
    <row r="49" spans="1:8" s="41" customFormat="1" ht="16.5" customHeight="1" x14ac:dyDescent="0.25">
      <c r="A49" s="99">
        <v>30</v>
      </c>
      <c r="B49" s="117" t="s">
        <v>60</v>
      </c>
      <c r="C49" s="119">
        <f>809+2544+61387+35200</f>
        <v>99940</v>
      </c>
      <c r="D49" s="120">
        <v>206670</v>
      </c>
      <c r="E49" s="119">
        <f>C49</f>
        <v>99940</v>
      </c>
      <c r="F49" s="121">
        <f t="shared" ref="F49:F51" si="13">E49/C49*100</f>
        <v>100</v>
      </c>
      <c r="G49" s="119">
        <f t="shared" ref="G49:G51" si="14">E49</f>
        <v>99940</v>
      </c>
      <c r="H49" s="121">
        <f t="shared" ref="H49:H51" si="15">G49/C49*100</f>
        <v>100</v>
      </c>
    </row>
    <row r="50" spans="1:8" s="41" customFormat="1" ht="16.5" customHeight="1" x14ac:dyDescent="0.25">
      <c r="A50" s="99">
        <v>31</v>
      </c>
      <c r="B50" s="117" t="s">
        <v>61</v>
      </c>
      <c r="C50" s="119">
        <f>79155+931+27646+128000+12489+20630</f>
        <v>268851</v>
      </c>
      <c r="D50" s="120"/>
      <c r="E50" s="119">
        <f>C50</f>
        <v>268851</v>
      </c>
      <c r="F50" s="121">
        <f t="shared" si="13"/>
        <v>100</v>
      </c>
      <c r="G50" s="119">
        <f t="shared" si="14"/>
        <v>268851</v>
      </c>
      <c r="H50" s="121">
        <f t="shared" si="15"/>
        <v>100</v>
      </c>
    </row>
    <row r="51" spans="1:8" s="41" customFormat="1" ht="16.5" customHeight="1" x14ac:dyDescent="0.25">
      <c r="A51" s="99">
        <v>32</v>
      </c>
      <c r="B51" s="117" t="s">
        <v>62</v>
      </c>
      <c r="C51" s="119">
        <f>519+1596+8018</f>
        <v>10133</v>
      </c>
      <c r="D51" s="120"/>
      <c r="E51" s="119">
        <f>C51</f>
        <v>10133</v>
      </c>
      <c r="F51" s="121">
        <f t="shared" si="13"/>
        <v>100</v>
      </c>
      <c r="G51" s="119">
        <f t="shared" si="14"/>
        <v>10133</v>
      </c>
      <c r="H51" s="121">
        <f t="shared" si="15"/>
        <v>100</v>
      </c>
    </row>
    <row r="52" spans="1:8" s="151" customFormat="1" ht="16.5" customHeight="1" x14ac:dyDescent="0.25">
      <c r="A52" s="152">
        <v>33</v>
      </c>
      <c r="B52" s="122" t="s">
        <v>63</v>
      </c>
      <c r="C52" s="123">
        <v>74876</v>
      </c>
      <c r="D52" s="124"/>
      <c r="E52" s="123">
        <v>51314</v>
      </c>
      <c r="F52" s="125">
        <f>E52/C52*100</f>
        <v>68.531972861798181</v>
      </c>
      <c r="G52" s="123">
        <v>45962</v>
      </c>
      <c r="H52" s="125">
        <f>G52/C52*100</f>
        <v>61.384155136492339</v>
      </c>
    </row>
    <row r="53" spans="1:8" s="151" customFormat="1" ht="16.5" customHeight="1" x14ac:dyDescent="0.25">
      <c r="A53" s="152">
        <v>34</v>
      </c>
      <c r="B53" s="122" t="s">
        <v>21</v>
      </c>
      <c r="C53" s="123">
        <v>6223</v>
      </c>
      <c r="D53" s="124">
        <v>6428</v>
      </c>
      <c r="E53" s="123">
        <v>6223</v>
      </c>
      <c r="F53" s="125">
        <f>E53/C53*100</f>
        <v>100</v>
      </c>
      <c r="G53" s="123">
        <v>6223</v>
      </c>
      <c r="H53" s="125">
        <f t="shared" ref="H53:H55" si="16">G53/C53*100</f>
        <v>100</v>
      </c>
    </row>
    <row r="54" spans="1:8" s="151" customFormat="1" ht="15" x14ac:dyDescent="0.25">
      <c r="A54" s="152">
        <v>35</v>
      </c>
      <c r="B54" s="122" t="s">
        <v>22</v>
      </c>
      <c r="C54" s="126">
        <v>40000</v>
      </c>
      <c r="D54" s="127">
        <v>70000</v>
      </c>
      <c r="E54" s="126">
        <f>C54</f>
        <v>40000</v>
      </c>
      <c r="F54" s="125">
        <f>E54/C54*100</f>
        <v>100</v>
      </c>
      <c r="G54" s="126">
        <f>E54</f>
        <v>40000</v>
      </c>
      <c r="H54" s="125">
        <f t="shared" si="16"/>
        <v>100</v>
      </c>
    </row>
    <row r="55" spans="1:8" s="141" customFormat="1" ht="27.75" customHeight="1" x14ac:dyDescent="0.2">
      <c r="A55" s="152">
        <v>36</v>
      </c>
      <c r="B55" s="122" t="s">
        <v>69</v>
      </c>
      <c r="C55" s="123">
        <f>SUM(C56:C62)</f>
        <v>944705</v>
      </c>
      <c r="D55" s="124">
        <f>SUM(D56:D62)</f>
        <v>102158</v>
      </c>
      <c r="E55" s="123">
        <f>SUM(E56,E62)</f>
        <v>460056</v>
      </c>
      <c r="F55" s="128">
        <f>E55/C55*100</f>
        <v>48.6983767419459</v>
      </c>
      <c r="G55" s="123">
        <f>SUM(G56,G62)</f>
        <v>397635</v>
      </c>
      <c r="H55" s="205">
        <f t="shared" si="16"/>
        <v>42.090917270470676</v>
      </c>
    </row>
    <row r="56" spans="1:8" s="42" customFormat="1" ht="14.25" customHeight="1" x14ac:dyDescent="0.2">
      <c r="A56" s="99">
        <v>37</v>
      </c>
      <c r="B56" s="132" t="s">
        <v>64</v>
      </c>
      <c r="C56" s="133">
        <f>80605+99000+90000+62665</f>
        <v>332270</v>
      </c>
      <c r="D56" s="134">
        <f>44675+57483</f>
        <v>102158</v>
      </c>
      <c r="E56" s="208">
        <v>432177</v>
      </c>
      <c r="F56" s="211">
        <f>E56/(C56+C57+C58+C59+C60+C61)*100</f>
        <v>47.138388309232063</v>
      </c>
      <c r="G56" s="208">
        <v>369756</v>
      </c>
      <c r="H56" s="211">
        <f>G56/(C56+C57+C58+C59+C60+C61)*100</f>
        <v>40.330008093138723</v>
      </c>
    </row>
    <row r="57" spans="1:8" s="42" customFormat="1" ht="14.25" customHeight="1" x14ac:dyDescent="0.2">
      <c r="A57" s="99">
        <v>38</v>
      </c>
      <c r="B57" s="132" t="s">
        <v>65</v>
      </c>
      <c r="C57" s="133">
        <f>70117+104500+5000+70000</f>
        <v>249617</v>
      </c>
      <c r="D57" s="134"/>
      <c r="E57" s="209"/>
      <c r="F57" s="212"/>
      <c r="G57" s="209"/>
      <c r="H57" s="212"/>
    </row>
    <row r="58" spans="1:8" s="42" customFormat="1" ht="14.25" customHeight="1" x14ac:dyDescent="0.2">
      <c r="A58" s="99">
        <v>39</v>
      </c>
      <c r="B58" s="132" t="s">
        <v>66</v>
      </c>
      <c r="C58" s="133">
        <f>124129+100000</f>
        <v>224129</v>
      </c>
      <c r="D58" s="134"/>
      <c r="E58" s="209"/>
      <c r="F58" s="212"/>
      <c r="G58" s="209"/>
      <c r="H58" s="212"/>
    </row>
    <row r="59" spans="1:8" s="42" customFormat="1" ht="14.25" customHeight="1" x14ac:dyDescent="0.2">
      <c r="A59" s="99">
        <v>40</v>
      </c>
      <c r="B59" s="132" t="s">
        <v>67</v>
      </c>
      <c r="C59" s="133">
        <f>20463+14000+23000</f>
        <v>57463</v>
      </c>
      <c r="D59" s="134"/>
      <c r="E59" s="209"/>
      <c r="F59" s="212"/>
      <c r="G59" s="209"/>
      <c r="H59" s="212"/>
    </row>
    <row r="60" spans="1:8" s="42" customFormat="1" ht="14.25" customHeight="1" x14ac:dyDescent="0.2">
      <c r="A60" s="99">
        <v>41</v>
      </c>
      <c r="B60" s="132" t="s">
        <v>68</v>
      </c>
      <c r="C60" s="133">
        <f>32226+40000-27879</f>
        <v>44347</v>
      </c>
      <c r="D60" s="134"/>
      <c r="E60" s="209"/>
      <c r="F60" s="212"/>
      <c r="G60" s="209"/>
      <c r="H60" s="212"/>
    </row>
    <row r="61" spans="1:8" s="42" customFormat="1" ht="14.25" customHeight="1" x14ac:dyDescent="0.2">
      <c r="A61" s="99">
        <v>42</v>
      </c>
      <c r="B61" s="132" t="s">
        <v>70</v>
      </c>
      <c r="C61" s="133">
        <v>9000</v>
      </c>
      <c r="D61" s="134"/>
      <c r="E61" s="210"/>
      <c r="F61" s="213"/>
      <c r="G61" s="210"/>
      <c r="H61" s="213"/>
    </row>
    <row r="62" spans="1:8" s="42" customFormat="1" ht="14.25" customHeight="1" thickBot="1" x14ac:dyDescent="0.25">
      <c r="A62" s="99">
        <v>43</v>
      </c>
      <c r="B62" s="132" t="s">
        <v>71</v>
      </c>
      <c r="C62" s="133">
        <v>27879</v>
      </c>
      <c r="D62" s="134"/>
      <c r="E62" s="133">
        <v>27879</v>
      </c>
      <c r="F62" s="121">
        <f t="shared" ref="F62" si="17">E62/C62*100</f>
        <v>100</v>
      </c>
      <c r="G62" s="133">
        <v>27879</v>
      </c>
      <c r="H62" s="121">
        <f>G62/C62*100</f>
        <v>100</v>
      </c>
    </row>
    <row r="63" spans="1:8" s="9" customFormat="1" ht="14.25" hidden="1" customHeight="1" x14ac:dyDescent="0.2">
      <c r="A63" s="98">
        <v>33</v>
      </c>
      <c r="B63" s="80" t="s">
        <v>23</v>
      </c>
      <c r="C63" s="37">
        <f>19934+70030</f>
        <v>89964</v>
      </c>
      <c r="D63" s="85">
        <f>2000+62847+7246+1610+96745</f>
        <v>170448</v>
      </c>
      <c r="E63" s="93"/>
      <c r="F63" s="34"/>
      <c r="G63" s="93"/>
      <c r="H63" s="34"/>
    </row>
    <row r="64" spans="1:8" s="9" customFormat="1" ht="14.25" hidden="1" customHeight="1" x14ac:dyDescent="0.2">
      <c r="A64" s="99">
        <v>34</v>
      </c>
      <c r="B64" s="80" t="s">
        <v>24</v>
      </c>
      <c r="C64" s="37">
        <f>38943+68823</f>
        <v>107766</v>
      </c>
      <c r="D64" s="85">
        <f>11790+64690</f>
        <v>76480</v>
      </c>
      <c r="E64" s="93"/>
      <c r="F64" s="110"/>
      <c r="G64" s="93"/>
      <c r="H64" s="34"/>
    </row>
    <row r="65" spans="1:8" s="9" customFormat="1" ht="14.25" hidden="1" customHeight="1" x14ac:dyDescent="0.2">
      <c r="A65" s="98">
        <v>35</v>
      </c>
      <c r="B65" s="80" t="s">
        <v>25</v>
      </c>
      <c r="C65" s="37">
        <f>8500+29740-40</f>
        <v>38200</v>
      </c>
      <c r="D65" s="85">
        <f>34847+325+550+34651</f>
        <v>70373</v>
      </c>
      <c r="E65" s="113"/>
      <c r="F65" s="111"/>
      <c r="G65" s="95"/>
      <c r="H65" s="96"/>
    </row>
    <row r="66" spans="1:8" s="9" customFormat="1" ht="14.25" hidden="1" customHeight="1" x14ac:dyDescent="0.2">
      <c r="A66" s="99">
        <v>36</v>
      </c>
      <c r="B66" s="80" t="s">
        <v>26</v>
      </c>
      <c r="C66" s="37">
        <f>62088+200000+120479+141419</f>
        <v>523986</v>
      </c>
      <c r="D66" s="85">
        <f>106635+17950+10300+178800</f>
        <v>313685</v>
      </c>
      <c r="E66" s="113"/>
      <c r="F66" s="111"/>
      <c r="G66" s="94"/>
      <c r="H66" s="34"/>
    </row>
    <row r="67" spans="1:8" s="9" customFormat="1" ht="14.25" hidden="1" customHeight="1" x14ac:dyDescent="0.2">
      <c r="A67" s="98">
        <v>37</v>
      </c>
      <c r="B67" s="80" t="s">
        <v>38</v>
      </c>
      <c r="C67" s="37"/>
      <c r="D67" s="85"/>
      <c r="E67" s="114">
        <v>30435</v>
      </c>
      <c r="F67" s="112"/>
      <c r="G67" s="109">
        <v>30435</v>
      </c>
      <c r="H67" s="34"/>
    </row>
    <row r="68" spans="1:8" s="9" customFormat="1" ht="14.25" hidden="1" customHeight="1" x14ac:dyDescent="0.2">
      <c r="A68" s="99">
        <v>38</v>
      </c>
      <c r="B68" s="80" t="s">
        <v>27</v>
      </c>
      <c r="C68" s="37">
        <f>3612+2088+12610+16420-6970</f>
        <v>27760</v>
      </c>
      <c r="D68" s="85">
        <f>37712+960+26780</f>
        <v>65452</v>
      </c>
      <c r="E68" s="93"/>
      <c r="F68" s="34"/>
      <c r="G68" s="93"/>
      <c r="H68" s="34"/>
    </row>
    <row r="69" spans="1:8" s="9" customFormat="1" ht="14.25" hidden="1" customHeight="1" x14ac:dyDescent="0.2">
      <c r="A69" s="98">
        <v>39</v>
      </c>
      <c r="B69" s="80" t="s">
        <v>31</v>
      </c>
      <c r="C69" s="37">
        <f>15043+11783</f>
        <v>26826</v>
      </c>
      <c r="D69" s="85">
        <f>1595+23643</f>
        <v>25238</v>
      </c>
      <c r="E69" s="37">
        <v>26826</v>
      </c>
      <c r="F69" s="34">
        <f>E69/C69*100</f>
        <v>100</v>
      </c>
      <c r="G69" s="37">
        <v>26826</v>
      </c>
      <c r="H69" s="34">
        <f>G69/E69*100</f>
        <v>100</v>
      </c>
    </row>
    <row r="70" spans="1:8" s="9" customFormat="1" ht="14.25" hidden="1" customHeight="1" x14ac:dyDescent="0.2">
      <c r="A70" s="99">
        <v>40</v>
      </c>
      <c r="B70" s="80" t="s">
        <v>28</v>
      </c>
      <c r="C70" s="37">
        <f>2300+2588+4500</f>
        <v>9388</v>
      </c>
      <c r="D70" s="85">
        <f>7000+2000+3800</f>
        <v>12800</v>
      </c>
      <c r="E70" s="37"/>
      <c r="F70" s="34">
        <f>E70/C70*100</f>
        <v>0</v>
      </c>
      <c r="G70" s="37"/>
      <c r="H70" s="34"/>
    </row>
    <row r="71" spans="1:8" s="9" customFormat="1" ht="14.25" hidden="1" customHeight="1" x14ac:dyDescent="0.2">
      <c r="A71" s="98">
        <v>41</v>
      </c>
      <c r="B71" s="80" t="s">
        <v>40</v>
      </c>
      <c r="C71" s="37">
        <v>290</v>
      </c>
      <c r="D71" s="85"/>
      <c r="E71" s="37">
        <v>370556</v>
      </c>
      <c r="F71" s="34"/>
      <c r="G71" s="37">
        <v>149855</v>
      </c>
      <c r="H71" s="34">
        <f>G71/E71*100</f>
        <v>40.440581180712229</v>
      </c>
    </row>
    <row r="72" spans="1:8" s="52" customFormat="1" ht="26.25" customHeight="1" thickTop="1" thickBot="1" x14ac:dyDescent="0.25">
      <c r="A72" s="103">
        <v>44</v>
      </c>
      <c r="B72" s="53" t="s">
        <v>6</v>
      </c>
      <c r="C72" s="54">
        <f>SUM(C36,C47,C52:C55)</f>
        <v>4252064</v>
      </c>
      <c r="D72" s="54">
        <f>SUM(D36,D47,D52:D55)</f>
        <v>1532668</v>
      </c>
      <c r="E72" s="54">
        <f>SUM(E36,E47,E52:E55)</f>
        <v>3655894.7</v>
      </c>
      <c r="F72" s="75">
        <f>E72/C72*100</f>
        <v>85.979296172400041</v>
      </c>
      <c r="G72" s="54">
        <f>SUM(G36,G47,G52:G55)</f>
        <v>3513440.79</v>
      </c>
      <c r="H72" s="75">
        <f>G72/C72*100</f>
        <v>82.629066495706553</v>
      </c>
    </row>
    <row r="73" spans="1:8" s="14" customFormat="1" ht="13.5" hidden="1" customHeight="1" thickTop="1" x14ac:dyDescent="0.2">
      <c r="B73" s="10"/>
      <c r="C73" s="12" t="e">
        <f>-SUM(#REF!)</f>
        <v>#REF!</v>
      </c>
      <c r="D73" s="12">
        <f>-SUM(D90)</f>
        <v>45111</v>
      </c>
      <c r="E73" s="12">
        <f>-SUM(E90)</f>
        <v>119824</v>
      </c>
      <c r="F73" s="47">
        <f>-SUM(F90)</f>
        <v>-184.16611591841755</v>
      </c>
      <c r="G73" s="12">
        <f>-SUM(G90)</f>
        <v>176967</v>
      </c>
      <c r="H73" s="47">
        <f>-SUM(H90)</f>
        <v>-271.99329880269892</v>
      </c>
    </row>
    <row r="74" spans="1:8" s="26" customFormat="1" ht="13.5" hidden="1" customHeight="1" x14ac:dyDescent="0.2">
      <c r="B74" s="25"/>
      <c r="C74" s="21" t="e">
        <f>SUM(C73:C73)</f>
        <v>#REF!</v>
      </c>
      <c r="D74" s="12">
        <f>SUM(D72:D73)</f>
        <v>1577779</v>
      </c>
      <c r="E74" s="21">
        <f>SUM(E72:E73)</f>
        <v>3775718.7</v>
      </c>
      <c r="F74" s="48">
        <f>SUM(F72:F73)</f>
        <v>-98.186819746017505</v>
      </c>
      <c r="G74" s="21">
        <f>SUM(G72:G73)</f>
        <v>3690407.79</v>
      </c>
      <c r="H74" s="48">
        <f>SUM(H72:H73)</f>
        <v>-189.36423230699236</v>
      </c>
    </row>
    <row r="75" spans="1:8" s="26" customFormat="1" ht="13.5" hidden="1" customHeight="1" x14ac:dyDescent="0.2">
      <c r="B75" s="25"/>
      <c r="C75" s="21" t="e">
        <f>-SUM(#REF!)</f>
        <v>#REF!</v>
      </c>
      <c r="D75" s="12" t="e">
        <f>-SUM(#REF!)</f>
        <v>#REF!</v>
      </c>
      <c r="E75" s="21" t="e">
        <f>-SUM(#REF!)</f>
        <v>#REF!</v>
      </c>
      <c r="F75" s="48" t="e">
        <f>-SUM(#REF!)</f>
        <v>#REF!</v>
      </c>
      <c r="G75" s="21" t="e">
        <f>-SUM(#REF!)</f>
        <v>#REF!</v>
      </c>
      <c r="H75" s="21" t="e">
        <f>-SUM(#REF!)</f>
        <v>#REF!</v>
      </c>
    </row>
    <row r="76" spans="1:8" s="23" customFormat="1" ht="13.5" hidden="1" customHeight="1" x14ac:dyDescent="0.2">
      <c r="B76" s="25"/>
      <c r="C76" s="21" t="e">
        <f t="shared" ref="C76:H76" si="18">SUM(C74:C75)</f>
        <v>#REF!</v>
      </c>
      <c r="D76" s="12" t="e">
        <f t="shared" si="18"/>
        <v>#REF!</v>
      </c>
      <c r="E76" s="21" t="e">
        <f t="shared" si="18"/>
        <v>#REF!</v>
      </c>
      <c r="F76" s="48" t="e">
        <f t="shared" si="18"/>
        <v>#REF!</v>
      </c>
      <c r="G76" s="21" t="e">
        <f t="shared" si="18"/>
        <v>#REF!</v>
      </c>
      <c r="H76" s="21" t="e">
        <f t="shared" si="18"/>
        <v>#REF!</v>
      </c>
    </row>
    <row r="77" spans="1:8" s="23" customFormat="1" ht="13.5" hidden="1" customHeight="1" x14ac:dyDescent="0.2">
      <c r="B77" s="25"/>
      <c r="C77" s="21" t="e">
        <f>-SUM(#REF!)</f>
        <v>#REF!</v>
      </c>
      <c r="D77" s="12" t="e">
        <f>-SUM(#REF!)</f>
        <v>#REF!</v>
      </c>
      <c r="E77" s="21" t="e">
        <f>-SUM(#REF!)</f>
        <v>#REF!</v>
      </c>
      <c r="F77" s="21" t="e">
        <f>-SUM(#REF!)</f>
        <v>#REF!</v>
      </c>
      <c r="G77" s="21" t="e">
        <f>-SUM(#REF!)</f>
        <v>#REF!</v>
      </c>
      <c r="H77" s="21" t="e">
        <f>-SUM(#REF!)</f>
        <v>#REF!</v>
      </c>
    </row>
    <row r="78" spans="1:8" s="23" customFormat="1" ht="13.5" hidden="1" customHeight="1" x14ac:dyDescent="0.2">
      <c r="B78" s="25"/>
      <c r="C78" s="21" t="e">
        <f>-SUM(#REF!)</f>
        <v>#REF!</v>
      </c>
      <c r="D78" s="12">
        <f>-SUM(D62:D62)</f>
        <v>0</v>
      </c>
      <c r="E78" s="21" t="e">
        <f>-SUM(E62:E62)-#REF!</f>
        <v>#REF!</v>
      </c>
      <c r="F78" s="21" t="e">
        <f>-SUM(F62:F62)-#REF!</f>
        <v>#REF!</v>
      </c>
      <c r="G78" s="21" t="e">
        <f>-SUM(G62:G62)-#REF!</f>
        <v>#REF!</v>
      </c>
      <c r="H78" s="21" t="e">
        <f>-SUM(H62:H62)-#REF!</f>
        <v>#REF!</v>
      </c>
    </row>
    <row r="79" spans="1:8" s="28" customFormat="1" ht="13.5" hidden="1" customHeight="1" x14ac:dyDescent="0.2">
      <c r="B79" s="27"/>
      <c r="C79" s="20" t="e">
        <f>SUM(C76:C78)</f>
        <v>#REF!</v>
      </c>
      <c r="D79" s="12" t="e">
        <f>SUM(D76:D78)</f>
        <v>#REF!</v>
      </c>
      <c r="E79" s="20" t="e">
        <f>SUM(E76:E78)</f>
        <v>#REF!</v>
      </c>
      <c r="F79" s="49" t="e">
        <f>SUM(F76:F77)</f>
        <v>#REF!</v>
      </c>
      <c r="G79" s="20" t="e">
        <f>SUM(G76:G78)-G92</f>
        <v>#REF!</v>
      </c>
      <c r="H79" s="20" t="e">
        <f>SUM(H76:H78)-H92</f>
        <v>#REF!</v>
      </c>
    </row>
    <row r="80" spans="1:8" s="28" customFormat="1" ht="13.5" customHeight="1" thickTop="1" x14ac:dyDescent="0.2">
      <c r="B80" s="27"/>
      <c r="C80" s="20"/>
      <c r="D80" s="12"/>
      <c r="E80" s="20"/>
      <c r="F80" s="49"/>
      <c r="G80" s="20"/>
      <c r="H80" s="20"/>
    </row>
    <row r="81" spans="1:8" s="7" customFormat="1" ht="13.5" customHeight="1" thickBot="1" x14ac:dyDescent="0.25">
      <c r="B81" s="10"/>
      <c r="C81" s="11"/>
      <c r="D81" s="12"/>
      <c r="E81" s="12"/>
      <c r="F81" s="13"/>
      <c r="G81" s="11"/>
      <c r="H81" s="13"/>
    </row>
    <row r="82" spans="1:8" s="42" customFormat="1" ht="17.100000000000001" customHeight="1" thickTop="1" thickBot="1" x14ac:dyDescent="0.25">
      <c r="A82" s="102">
        <v>45</v>
      </c>
      <c r="B82" s="104" t="s">
        <v>6</v>
      </c>
      <c r="C82" s="61">
        <f>SUM(C72)</f>
        <v>4252064</v>
      </c>
      <c r="D82" s="87">
        <f>SUM(D72)</f>
        <v>1532668</v>
      </c>
      <c r="E82" s="61">
        <f>E72</f>
        <v>3655894.7</v>
      </c>
      <c r="F82" s="62">
        <f t="shared" ref="F82:F87" si="19">E82/C82*100</f>
        <v>85.979296172400041</v>
      </c>
      <c r="G82" s="61">
        <f>G72</f>
        <v>3513440.79</v>
      </c>
      <c r="H82" s="62">
        <f>G82/C82*100</f>
        <v>82.629066495706553</v>
      </c>
    </row>
    <row r="83" spans="1:8" s="42" customFormat="1" ht="17.100000000000001" hidden="1" customHeight="1" thickTop="1" thickBot="1" x14ac:dyDescent="0.25">
      <c r="A83" s="102">
        <v>24</v>
      </c>
      <c r="B83" s="105" t="s">
        <v>7</v>
      </c>
      <c r="C83" s="63">
        <f>C22-C72</f>
        <v>-733105</v>
      </c>
      <c r="D83" s="88">
        <f>D22-D72</f>
        <v>272754</v>
      </c>
      <c r="E83" s="63">
        <f>E22-E72</f>
        <v>-80176.459999999963</v>
      </c>
      <c r="F83" s="64">
        <f t="shared" si="19"/>
        <v>10.93655888310678</v>
      </c>
      <c r="G83" s="63">
        <f>G22-G72</f>
        <v>176967.0148</v>
      </c>
      <c r="H83" s="64">
        <f>G83/E83*100</f>
        <v>-220.72191114449313</v>
      </c>
    </row>
    <row r="84" spans="1:8" s="42" customFormat="1" ht="17.100000000000001" customHeight="1" thickTop="1" thickBot="1" x14ac:dyDescent="0.25">
      <c r="A84" s="100">
        <v>46</v>
      </c>
      <c r="B84" s="104" t="s">
        <v>8</v>
      </c>
      <c r="C84" s="61">
        <f>SUM(C22)</f>
        <v>3518959</v>
      </c>
      <c r="D84" s="87">
        <f>SUM(D22)</f>
        <v>1805422</v>
      </c>
      <c r="E84" s="61">
        <f>SUM(E22)</f>
        <v>3575718.24</v>
      </c>
      <c r="F84" s="65">
        <f t="shared" si="19"/>
        <v>101.61295542232803</v>
      </c>
      <c r="G84" s="61">
        <f>SUM(G22)</f>
        <v>3690407.8048</v>
      </c>
      <c r="H84" s="65">
        <f>G84/C84*100</f>
        <v>104.87214556350331</v>
      </c>
    </row>
    <row r="85" spans="1:8" s="42" customFormat="1" ht="17.100000000000001" customHeight="1" thickTop="1" thickBot="1" x14ac:dyDescent="0.25">
      <c r="A85" s="168">
        <v>47</v>
      </c>
      <c r="B85" s="169" t="s">
        <v>9</v>
      </c>
      <c r="C85" s="170">
        <f>SUM(C86,C87,C90)</f>
        <v>733105</v>
      </c>
      <c r="D85" s="171">
        <f>SUM(D87,D90)</f>
        <v>-45111</v>
      </c>
      <c r="E85" s="170">
        <f>SUM(E87,E90)</f>
        <v>80176</v>
      </c>
      <c r="F85" s="172">
        <f>E85/C85*100</f>
        <v>10.936496136296983</v>
      </c>
      <c r="G85" s="170">
        <f>SUM(G86:G87,G90)</f>
        <v>-176967</v>
      </c>
      <c r="H85" s="64">
        <f>G85/C85*100</f>
        <v>-24.139379761425715</v>
      </c>
    </row>
    <row r="86" spans="1:8" s="151" customFormat="1" ht="38.25" customHeight="1" thickTop="1" x14ac:dyDescent="0.25">
      <c r="A86" s="135">
        <v>48</v>
      </c>
      <c r="B86" s="155" t="s">
        <v>30</v>
      </c>
      <c r="C86" s="156">
        <v>161414</v>
      </c>
      <c r="D86" s="157">
        <v>0</v>
      </c>
      <c r="E86" s="156">
        <v>0</v>
      </c>
      <c r="F86" s="162">
        <f t="shared" si="19"/>
        <v>0</v>
      </c>
      <c r="G86" s="156">
        <v>0</v>
      </c>
      <c r="H86" s="162">
        <v>0</v>
      </c>
    </row>
    <row r="87" spans="1:8" s="163" customFormat="1" ht="18" customHeight="1" x14ac:dyDescent="0.25">
      <c r="A87" s="158">
        <v>49</v>
      </c>
      <c r="B87" s="159" t="s">
        <v>29</v>
      </c>
      <c r="C87" s="160">
        <f>SUM(C88:C89)</f>
        <v>636754</v>
      </c>
      <c r="D87" s="161">
        <f>SUM(D88:D89)</f>
        <v>0</v>
      </c>
      <c r="E87" s="160">
        <f>SUM(E88:E89)</f>
        <v>200000</v>
      </c>
      <c r="F87" s="162">
        <f t="shared" si="19"/>
        <v>31.409304064049852</v>
      </c>
      <c r="G87" s="160">
        <f>SUM(G88:G89)</f>
        <v>0</v>
      </c>
      <c r="H87" s="162">
        <f>G87/C87*100</f>
        <v>0</v>
      </c>
    </row>
    <row r="88" spans="1:8" s="18" customFormat="1" ht="18" customHeight="1" x14ac:dyDescent="0.2">
      <c r="A88" s="154">
        <v>50</v>
      </c>
      <c r="B88" s="106" t="s">
        <v>50</v>
      </c>
      <c r="C88" s="56">
        <v>238381</v>
      </c>
      <c r="D88" s="89"/>
      <c r="E88" s="56">
        <v>0</v>
      </c>
      <c r="F88" s="58">
        <v>0</v>
      </c>
      <c r="G88" s="56">
        <v>0</v>
      </c>
      <c r="H88" s="58">
        <v>0</v>
      </c>
    </row>
    <row r="89" spans="1:8" s="18" customFormat="1" ht="18" customHeight="1" x14ac:dyDescent="0.2">
      <c r="A89" s="108">
        <v>51</v>
      </c>
      <c r="B89" s="106" t="s">
        <v>44</v>
      </c>
      <c r="C89" s="56">
        <v>398373</v>
      </c>
      <c r="D89" s="89"/>
      <c r="E89" s="56">
        <v>200000</v>
      </c>
      <c r="F89" s="58">
        <f>E89/C89*100</f>
        <v>50.204205606303645</v>
      </c>
      <c r="G89" s="56">
        <v>0</v>
      </c>
      <c r="H89" s="58">
        <f>G89/E89*100</f>
        <v>0</v>
      </c>
    </row>
    <row r="90" spans="1:8" s="163" customFormat="1" ht="18" customHeight="1" x14ac:dyDescent="0.25">
      <c r="A90" s="152">
        <v>52</v>
      </c>
      <c r="B90" s="164" t="s">
        <v>43</v>
      </c>
      <c r="C90" s="160">
        <f>-SUM(C91:C92)</f>
        <v>-65063</v>
      </c>
      <c r="D90" s="165">
        <f>-SUM(D91:D92)</f>
        <v>-45111</v>
      </c>
      <c r="E90" s="166">
        <f>-SUM(E91,E92,E106)</f>
        <v>-119824</v>
      </c>
      <c r="F90" s="162">
        <f>E90/C90*100</f>
        <v>184.16611591841755</v>
      </c>
      <c r="G90" s="166">
        <f>-SUM(G91,G92,G106)</f>
        <v>-176967</v>
      </c>
      <c r="H90" s="162">
        <f>G90/C90*100</f>
        <v>271.99329880269892</v>
      </c>
    </row>
    <row r="91" spans="1:8" ht="18" customHeight="1" x14ac:dyDescent="0.2">
      <c r="A91" s="108">
        <v>53</v>
      </c>
      <c r="B91" s="106" t="s">
        <v>51</v>
      </c>
      <c r="C91" s="56">
        <v>43634</v>
      </c>
      <c r="D91" s="90">
        <f>45111</f>
        <v>45111</v>
      </c>
      <c r="E91" s="59">
        <v>43634</v>
      </c>
      <c r="F91" s="34">
        <f>E91/C91*100</f>
        <v>100</v>
      </c>
      <c r="G91" s="59">
        <v>43633</v>
      </c>
      <c r="H91" s="34">
        <f>G91/C91*100</f>
        <v>99.99770820919467</v>
      </c>
    </row>
    <row r="92" spans="1:8" ht="18" customHeight="1" x14ac:dyDescent="0.2">
      <c r="A92" s="154">
        <v>54</v>
      </c>
      <c r="B92" s="118" t="s">
        <v>45</v>
      </c>
      <c r="C92" s="56">
        <v>21429</v>
      </c>
      <c r="D92" s="89"/>
      <c r="E92" s="56">
        <v>42857</v>
      </c>
      <c r="F92" s="34">
        <f>E92/C92*100</f>
        <v>199.99533342666481</v>
      </c>
      <c r="G92" s="56">
        <v>66667</v>
      </c>
      <c r="H92" s="34">
        <f>G92/C92*100</f>
        <v>311.10644453777587</v>
      </c>
    </row>
    <row r="93" spans="1:8" s="55" customFormat="1" ht="14.25" hidden="1" x14ac:dyDescent="0.2">
      <c r="A93" s="108">
        <v>54</v>
      </c>
      <c r="B93" s="178"/>
      <c r="C93" s="179" t="e">
        <f>SUM(#REF!,#REF!)</f>
        <v>#REF!</v>
      </c>
      <c r="D93" s="180">
        <f>SUM(D22,D86:D87)</f>
        <v>1805422</v>
      </c>
      <c r="E93" s="179">
        <f>SUM(E22,E86:E87)</f>
        <v>3775718.24</v>
      </c>
      <c r="F93" s="179"/>
      <c r="G93" s="179">
        <f>SUM(G22,G86:G87)</f>
        <v>3690407.8048</v>
      </c>
      <c r="H93" s="34">
        <f t="shared" ref="H93:H105" si="20">G93/E93*100</f>
        <v>97.740550809744747</v>
      </c>
    </row>
    <row r="94" spans="1:8" s="55" customFormat="1" ht="14.25" hidden="1" x14ac:dyDescent="0.2">
      <c r="A94" s="154">
        <v>55</v>
      </c>
      <c r="B94" s="178"/>
      <c r="C94" s="179" t="e">
        <f>#REF!-#REF!</f>
        <v>#REF!</v>
      </c>
      <c r="D94" s="180">
        <f>D72-D90</f>
        <v>1577779</v>
      </c>
      <c r="E94" s="179">
        <f>E72-E90</f>
        <v>3775718.7</v>
      </c>
      <c r="F94" s="179"/>
      <c r="G94" s="179">
        <f>G72-G90</f>
        <v>3690407.79</v>
      </c>
      <c r="H94" s="34">
        <f t="shared" si="20"/>
        <v>97.740538509926594</v>
      </c>
    </row>
    <row r="95" spans="1:8" ht="14.25" hidden="1" x14ac:dyDescent="0.2">
      <c r="A95" s="108">
        <v>56</v>
      </c>
      <c r="B95" s="181"/>
      <c r="C95" s="182"/>
      <c r="D95" s="183"/>
      <c r="E95" s="182"/>
      <c r="F95" s="50"/>
      <c r="G95" s="182"/>
      <c r="H95" s="34" t="e">
        <f t="shared" si="20"/>
        <v>#DIV/0!</v>
      </c>
    </row>
    <row r="96" spans="1:8" s="66" customFormat="1" ht="14.25" hidden="1" x14ac:dyDescent="0.2">
      <c r="A96" s="154">
        <v>57</v>
      </c>
      <c r="B96" s="184"/>
      <c r="C96" s="185">
        <f>521333</f>
        <v>521333</v>
      </c>
      <c r="D96" s="180">
        <f>521333</f>
        <v>521333</v>
      </c>
      <c r="E96" s="185">
        <v>82500</v>
      </c>
      <c r="F96" s="67"/>
      <c r="G96" s="185">
        <v>0</v>
      </c>
      <c r="H96" s="34">
        <f t="shared" si="20"/>
        <v>0</v>
      </c>
    </row>
    <row r="97" spans="1:11" s="68" customFormat="1" ht="14.25" hidden="1" x14ac:dyDescent="0.2">
      <c r="A97" s="108">
        <v>58</v>
      </c>
      <c r="B97" s="186"/>
      <c r="C97" s="187">
        <f>131496</f>
        <v>131496</v>
      </c>
      <c r="D97" s="180">
        <f>131496</f>
        <v>131496</v>
      </c>
      <c r="E97" s="187">
        <v>120042</v>
      </c>
      <c r="F97" s="69"/>
      <c r="G97" s="187">
        <f>120828+389250</f>
        <v>510078</v>
      </c>
      <c r="H97" s="34">
        <f t="shared" si="20"/>
        <v>424.91627930224422</v>
      </c>
    </row>
    <row r="98" spans="1:11" s="4" customFormat="1" ht="14.25" hidden="1" x14ac:dyDescent="0.2">
      <c r="A98" s="154">
        <v>59</v>
      </c>
      <c r="B98" s="188"/>
      <c r="C98" s="189"/>
      <c r="D98" s="180"/>
      <c r="E98" s="189"/>
      <c r="F98" s="70"/>
      <c r="G98" s="189"/>
      <c r="H98" s="34" t="e">
        <f t="shared" si="20"/>
        <v>#DIV/0!</v>
      </c>
    </row>
    <row r="99" spans="1:11" s="71" customFormat="1" ht="14.25" hidden="1" x14ac:dyDescent="0.2">
      <c r="A99" s="108">
        <v>60</v>
      </c>
      <c r="B99" s="190"/>
      <c r="C99" s="191">
        <v>0</v>
      </c>
      <c r="D99" s="192">
        <v>0</v>
      </c>
      <c r="E99" s="191">
        <v>0</v>
      </c>
      <c r="F99" s="72"/>
      <c r="G99" s="191">
        <f>338283-40940</f>
        <v>297343</v>
      </c>
      <c r="H99" s="34" t="e">
        <f t="shared" si="20"/>
        <v>#DIV/0!</v>
      </c>
    </row>
    <row r="100" spans="1:11" s="4" customFormat="1" ht="14.25" hidden="1" x14ac:dyDescent="0.2">
      <c r="A100" s="154">
        <v>61</v>
      </c>
      <c r="B100" s="188"/>
      <c r="C100" s="189"/>
      <c r="D100" s="180"/>
      <c r="E100" s="189"/>
      <c r="F100" s="70"/>
      <c r="G100" s="189"/>
      <c r="H100" s="34" t="e">
        <f t="shared" si="20"/>
        <v>#DIV/0!</v>
      </c>
    </row>
    <row r="101" spans="1:11" s="73" customFormat="1" ht="14.25" hidden="1" x14ac:dyDescent="0.2">
      <c r="A101" s="108">
        <v>62</v>
      </c>
      <c r="B101" s="193"/>
      <c r="C101" s="194">
        <v>0</v>
      </c>
      <c r="D101" s="195">
        <v>0</v>
      </c>
      <c r="E101" s="194">
        <v>0</v>
      </c>
      <c r="F101" s="74"/>
      <c r="G101" s="194">
        <v>0</v>
      </c>
      <c r="H101" s="34" t="e">
        <f t="shared" si="20"/>
        <v>#DIV/0!</v>
      </c>
    </row>
    <row r="102" spans="1:11" s="4" customFormat="1" ht="14.25" hidden="1" x14ac:dyDescent="0.2">
      <c r="A102" s="154">
        <v>63</v>
      </c>
      <c r="B102" s="188"/>
      <c r="C102" s="189"/>
      <c r="D102" s="180"/>
      <c r="E102" s="189"/>
      <c r="F102" s="70"/>
      <c r="G102" s="189">
        <f>SUM(G101,G99)</f>
        <v>297343</v>
      </c>
      <c r="H102" s="34" t="e">
        <f t="shared" si="20"/>
        <v>#DIV/0!</v>
      </c>
    </row>
    <row r="103" spans="1:11" s="4" customFormat="1" ht="14.25" hidden="1" x14ac:dyDescent="0.2">
      <c r="A103" s="108">
        <v>64</v>
      </c>
      <c r="B103" s="188"/>
      <c r="C103" s="189"/>
      <c r="D103" s="180"/>
      <c r="E103" s="189"/>
      <c r="F103" s="70"/>
      <c r="G103" s="189"/>
      <c r="H103" s="34" t="e">
        <f t="shared" si="20"/>
        <v>#DIV/0!</v>
      </c>
    </row>
    <row r="104" spans="1:11" s="4" customFormat="1" ht="14.25" hidden="1" x14ac:dyDescent="0.2">
      <c r="A104" s="154">
        <v>65</v>
      </c>
      <c r="B104" s="188"/>
      <c r="C104" s="189"/>
      <c r="D104" s="180"/>
      <c r="E104" s="189"/>
      <c r="F104" s="70"/>
      <c r="G104" s="189"/>
      <c r="H104" s="34" t="e">
        <f t="shared" si="20"/>
        <v>#DIV/0!</v>
      </c>
    </row>
    <row r="105" spans="1:11" ht="14.25" hidden="1" x14ac:dyDescent="0.2">
      <c r="A105" s="108">
        <v>66</v>
      </c>
      <c r="B105" s="181"/>
      <c r="C105" s="182"/>
      <c r="D105" s="183"/>
      <c r="E105" s="182"/>
      <c r="G105" s="189">
        <f>SUM(G92)</f>
        <v>66667</v>
      </c>
      <c r="H105" s="34" t="e">
        <f t="shared" si="20"/>
        <v>#DIV/0!</v>
      </c>
    </row>
    <row r="106" spans="1:11" ht="18" customHeight="1" thickBot="1" x14ac:dyDescent="0.25">
      <c r="A106" s="167">
        <v>55</v>
      </c>
      <c r="B106" s="107" t="s">
        <v>58</v>
      </c>
      <c r="C106" s="57">
        <v>0</v>
      </c>
      <c r="D106" s="91"/>
      <c r="E106" s="57">
        <v>33333</v>
      </c>
      <c r="F106" s="60">
        <v>0</v>
      </c>
      <c r="G106" s="57">
        <v>66667</v>
      </c>
      <c r="H106" s="60"/>
    </row>
    <row r="107" spans="1:11" ht="13.5" thickTop="1" x14ac:dyDescent="0.2">
      <c r="A107" s="223"/>
      <c r="B107" s="223"/>
      <c r="C107" s="173"/>
      <c r="D107" s="173">
        <f>D84+D86+D87</f>
        <v>1805422</v>
      </c>
      <c r="E107" s="173"/>
      <c r="F107" s="174"/>
      <c r="G107" s="173"/>
      <c r="H107" s="173"/>
      <c r="I107" s="175"/>
      <c r="J107" s="175"/>
      <c r="K107" s="97"/>
    </row>
    <row r="108" spans="1:11" x14ac:dyDescent="0.2">
      <c r="A108" s="115"/>
      <c r="B108" s="176"/>
      <c r="C108" s="202">
        <f>SUM(C22)+C86+C87</f>
        <v>4317127</v>
      </c>
      <c r="D108" s="202">
        <f>SUM(D22)+D86+D87</f>
        <v>1805422</v>
      </c>
      <c r="E108" s="202">
        <f>SUM(E22)+E86+E87</f>
        <v>3775718.24</v>
      </c>
      <c r="F108" s="202"/>
      <c r="G108" s="202">
        <f>SUM(G22)+G86+G87</f>
        <v>3690407.8048</v>
      </c>
      <c r="H108" s="207"/>
      <c r="I108" s="175"/>
      <c r="J108" s="175"/>
      <c r="K108" s="97"/>
    </row>
    <row r="109" spans="1:11" x14ac:dyDescent="0.2">
      <c r="B109" s="177"/>
      <c r="C109" s="203">
        <f>C72-C90</f>
        <v>4317127</v>
      </c>
      <c r="D109" s="203">
        <f>D72-D90</f>
        <v>1577779</v>
      </c>
      <c r="E109" s="203">
        <f>E72-E90</f>
        <v>3775718.7</v>
      </c>
      <c r="F109" s="203"/>
      <c r="G109" s="203">
        <f>G72-G90</f>
        <v>3690407.79</v>
      </c>
      <c r="H109" s="207"/>
      <c r="I109" s="175"/>
      <c r="J109" s="175"/>
      <c r="K109" s="97"/>
    </row>
    <row r="110" spans="1:11" x14ac:dyDescent="0.2">
      <c r="B110" s="177"/>
      <c r="C110" s="203">
        <f t="shared" ref="C110:D110" si="21">C108-C109</f>
        <v>0</v>
      </c>
      <c r="D110" s="203">
        <f t="shared" si="21"/>
        <v>227643</v>
      </c>
      <c r="E110" s="203">
        <f>E108-E109</f>
        <v>-0.4599999999627471</v>
      </c>
      <c r="F110" s="203"/>
      <c r="G110" s="203">
        <f t="shared" ref="G110" si="22">G108-G109</f>
        <v>1.4800000004470348E-2</v>
      </c>
      <c r="H110" s="207"/>
      <c r="I110" s="175"/>
      <c r="J110" s="175"/>
      <c r="K110" s="97"/>
    </row>
    <row r="111" spans="1:11" x14ac:dyDescent="0.2">
      <c r="B111" s="177"/>
      <c r="C111" s="204"/>
      <c r="D111" s="204"/>
      <c r="E111" s="173"/>
      <c r="F111" s="173"/>
      <c r="G111" s="173"/>
      <c r="H111" s="174"/>
      <c r="I111" s="175"/>
      <c r="J111" s="175"/>
    </row>
    <row r="112" spans="1:11" x14ac:dyDescent="0.2">
      <c r="C112" s="204"/>
      <c r="D112" s="204"/>
      <c r="E112" s="173"/>
      <c r="F112" s="173"/>
      <c r="G112" s="173"/>
      <c r="H112" s="174"/>
      <c r="I112" s="175"/>
      <c r="J112" s="175"/>
    </row>
    <row r="113" spans="3:10" x14ac:dyDescent="0.2">
      <c r="C113" s="204"/>
      <c r="D113" s="204"/>
      <c r="E113" s="173"/>
      <c r="F113" s="174"/>
      <c r="G113" s="173"/>
      <c r="H113" s="174"/>
      <c r="I113" s="175"/>
      <c r="J113" s="175"/>
    </row>
    <row r="114" spans="3:10" x14ac:dyDescent="0.2">
      <c r="C114" s="173"/>
      <c r="D114" s="173"/>
      <c r="E114" s="173"/>
      <c r="F114" s="174"/>
      <c r="G114" s="173"/>
      <c r="H114" s="174"/>
      <c r="I114" s="175"/>
      <c r="J114" s="175"/>
    </row>
    <row r="115" spans="3:10" x14ac:dyDescent="0.2">
      <c r="E115" s="173"/>
      <c r="F115" s="174"/>
      <c r="G115" s="173"/>
      <c r="H115" s="174"/>
      <c r="I115" s="175"/>
    </row>
    <row r="116" spans="3:10" x14ac:dyDescent="0.2">
      <c r="G116" s="173"/>
    </row>
  </sheetData>
  <mergeCells count="23">
    <mergeCell ref="A107:B107"/>
    <mergeCell ref="D32:D35"/>
    <mergeCell ref="B3:B6"/>
    <mergeCell ref="C3:C6"/>
    <mergeCell ref="D3:D6"/>
    <mergeCell ref="A3:A6"/>
    <mergeCell ref="A32:A35"/>
    <mergeCell ref="B32:B35"/>
    <mergeCell ref="C32:C35"/>
    <mergeCell ref="E56:E61"/>
    <mergeCell ref="F56:F61"/>
    <mergeCell ref="G56:G61"/>
    <mergeCell ref="H56:H61"/>
    <mergeCell ref="E3:H3"/>
    <mergeCell ref="G4:G6"/>
    <mergeCell ref="H4:H6"/>
    <mergeCell ref="E4:E6"/>
    <mergeCell ref="F4:F6"/>
    <mergeCell ref="E32:H32"/>
    <mergeCell ref="G33:G35"/>
    <mergeCell ref="H33:H35"/>
    <mergeCell ref="E33:E35"/>
    <mergeCell ref="F33:F35"/>
  </mergeCells>
  <phoneticPr fontId="0" type="noConversion"/>
  <pageMargins left="0.98425196850393704" right="0.98425196850393704" top="0.39370078740157483" bottom="0.39370078740157483" header="0.51181102362204722" footer="0.51181102362204722"/>
  <pageSetup paperSize="8" scale="85" firstPageNumber="8" orientation="portrait" useFirstPageNumber="1" r:id="rId1"/>
  <headerFooter alignWithMargins="0">
    <oddHeader>&amp;R&amp;12Příloha č. 1</oddHeader>
    <oddFooter>&amp;L&amp;"Arial,Kurzíva"Zastupitelstvo Olomouckého kraje 27-04-2012
6. - Rozpočtový výhled Olomouckého kraje na období 2013 - 2014
Příloha č. 1: Rozpočtový výhled OK na období 2013 -2014&amp;R&amp;"Arial,Kurzíva"Strana 8 (celkem 10)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Příloha č. 1</vt:lpstr>
      <vt:lpstr>'Příloha č. 1'!Oblast_tisku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Dostálová Edita</cp:lastModifiedBy>
  <cp:lastPrinted>2012-03-26T07:51:25Z</cp:lastPrinted>
  <dcterms:created xsi:type="dcterms:W3CDTF">2007-01-30T08:08:06Z</dcterms:created>
  <dcterms:modified xsi:type="dcterms:W3CDTF">2012-03-26T07:51:31Z</dcterms:modified>
</cp:coreProperties>
</file>